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dirlic.TROGIRHOLDING\Desktop\"/>
    </mc:Choice>
  </mc:AlternateContent>
  <xr:revisionPtr revIDLastSave="0" documentId="13_ncr:1_{7CD759FB-1872-45FF-8C8F-21246BE62AD8}" xr6:coauthVersionLast="36" xr6:coauthVersionMax="36" xr10:uidLastSave="{00000000-0000-0000-0000-000000000000}"/>
  <bookViews>
    <workbookView xWindow="0" yWindow="0" windowWidth="23040" windowHeight="8712" tabRatio="511" firstSheet="2" activeTab="2" xr2:uid="{00000000-000D-0000-FFFF-FFFF00000000}"/>
  </bookViews>
  <sheets>
    <sheet name="PLAN RASHODA 2013." sheetId="1" r:id="rId1"/>
    <sheet name="PLAN PRIHODA 2013." sheetId="2" r:id="rId2"/>
    <sheet name="Sheet1" sheetId="4" r:id="rId3"/>
    <sheet name="Sheet2" sheetId="5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1" i="4" l="1"/>
  <c r="K95" i="4"/>
  <c r="K101" i="4" l="1"/>
  <c r="K174" i="4" l="1"/>
  <c r="K180" i="4"/>
  <c r="K168" i="4"/>
  <c r="K148" i="4"/>
  <c r="K39" i="4" l="1"/>
  <c r="K140" i="4"/>
  <c r="K91" i="4"/>
  <c r="K64" i="4" l="1"/>
  <c r="K46" i="4" s="1"/>
  <c r="K35" i="4" l="1"/>
  <c r="K34" i="4"/>
  <c r="K30" i="4"/>
  <c r="K32" i="4"/>
  <c r="K28" i="4"/>
  <c r="K27" i="4"/>
  <c r="K31" i="4"/>
  <c r="K29" i="4"/>
  <c r="K157" i="4"/>
  <c r="K171" i="4"/>
  <c r="K159" i="4"/>
  <c r="K83" i="4"/>
  <c r="K37" i="4"/>
  <c r="K45" i="4" l="1"/>
  <c r="K183" i="4"/>
  <c r="K5" i="4"/>
  <c r="K4" i="4" s="1"/>
  <c r="K43" i="4" s="1"/>
  <c r="K182" i="4" s="1"/>
  <c r="B161" i="4" l="1"/>
  <c r="B162" i="4" s="1"/>
  <c r="B163" i="4" s="1"/>
  <c r="B164" i="4" s="1"/>
  <c r="B165" i="4" s="1"/>
  <c r="B166" i="4" s="1"/>
  <c r="B167" i="4" s="1"/>
  <c r="J174" i="4" l="1"/>
  <c r="I174" i="4"/>
  <c r="J153" i="4"/>
  <c r="J161" i="4"/>
  <c r="I101" i="4"/>
  <c r="J133" i="4"/>
  <c r="J117" i="4"/>
  <c r="J111" i="4"/>
  <c r="J105" i="4"/>
  <c r="J75" i="4"/>
  <c r="J72" i="4"/>
  <c r="J69" i="4"/>
  <c r="J74" i="4"/>
  <c r="J40" i="4"/>
  <c r="D5" i="4" l="1"/>
  <c r="E5" i="4"/>
  <c r="I5" i="4"/>
  <c r="J5" i="4"/>
  <c r="F6" i="4"/>
  <c r="F7" i="4"/>
  <c r="H7" i="4" s="1"/>
  <c r="F8" i="4"/>
  <c r="H8" i="4" s="1"/>
  <c r="F9" i="4"/>
  <c r="H9" i="4" s="1"/>
  <c r="F10" i="4"/>
  <c r="H10" i="4" s="1"/>
  <c r="F11" i="4"/>
  <c r="H11" i="4" s="1"/>
  <c r="F12" i="4"/>
  <c r="H12" i="4" s="1"/>
  <c r="F14" i="4"/>
  <c r="H14" i="4" s="1"/>
  <c r="F15" i="4"/>
  <c r="H15" i="4" s="1"/>
  <c r="F16" i="4"/>
  <c r="H16" i="4" s="1"/>
  <c r="F17" i="4"/>
  <c r="H17" i="4" s="1"/>
  <c r="F18" i="4"/>
  <c r="H18" i="4" s="1"/>
  <c r="F19" i="4"/>
  <c r="H19" i="4" s="1"/>
  <c r="F20" i="4"/>
  <c r="H20" i="4" s="1"/>
  <c r="F21" i="4"/>
  <c r="H21" i="4" s="1"/>
  <c r="F23" i="4"/>
  <c r="G23" i="4" s="1"/>
  <c r="F24" i="4"/>
  <c r="H24" i="4" s="1"/>
  <c r="F27" i="4"/>
  <c r="H27" i="4" s="1"/>
  <c r="F28" i="4"/>
  <c r="H28" i="4" s="1"/>
  <c r="F29" i="4"/>
  <c r="H29" i="4" s="1"/>
  <c r="F30" i="4"/>
  <c r="H30" i="4" s="1"/>
  <c r="H31" i="4"/>
  <c r="F32" i="4"/>
  <c r="H32" i="4" s="1"/>
  <c r="F34" i="4"/>
  <c r="H34" i="4" s="1"/>
  <c r="D37" i="4"/>
  <c r="G37" i="4"/>
  <c r="I37" i="4"/>
  <c r="J37" i="4"/>
  <c r="F38" i="4"/>
  <c r="F37" i="4" s="1"/>
  <c r="D39" i="4"/>
  <c r="E39" i="4"/>
  <c r="G39" i="4"/>
  <c r="I39" i="4"/>
  <c r="J39" i="4"/>
  <c r="F40" i="4"/>
  <c r="H40" i="4" s="1"/>
  <c r="D43" i="4"/>
  <c r="D182" i="4" s="1"/>
  <c r="E43" i="4"/>
  <c r="E182" i="4" s="1"/>
  <c r="F43" i="4"/>
  <c r="F182" i="4" s="1"/>
  <c r="G43" i="4"/>
  <c r="G182" i="4" s="1"/>
  <c r="J154" i="4"/>
  <c r="J163" i="4"/>
  <c r="J160" i="4"/>
  <c r="J71" i="4"/>
  <c r="J173" i="4"/>
  <c r="J172" i="4"/>
  <c r="J170" i="4"/>
  <c r="J169" i="4"/>
  <c r="J155" i="4"/>
  <c r="J150" i="4"/>
  <c r="J141" i="4"/>
  <c r="J140" i="4" s="1"/>
  <c r="J127" i="4"/>
  <c r="J93" i="4"/>
  <c r="D46" i="4"/>
  <c r="G46" i="4"/>
  <c r="I46" i="4"/>
  <c r="H47" i="4"/>
  <c r="H48" i="4"/>
  <c r="H49" i="4"/>
  <c r="H50" i="4"/>
  <c r="H51" i="4"/>
  <c r="H52" i="4"/>
  <c r="E53" i="4"/>
  <c r="H53" i="4"/>
  <c r="E57" i="4"/>
  <c r="F57" i="4" s="1"/>
  <c r="E58" i="4"/>
  <c r="H58" i="4"/>
  <c r="E61" i="4"/>
  <c r="H61" i="4"/>
  <c r="E63" i="4"/>
  <c r="H63" i="4"/>
  <c r="H69" i="4"/>
  <c r="H72" i="4"/>
  <c r="E73" i="4"/>
  <c r="H73" i="4"/>
  <c r="H74" i="4"/>
  <c r="H75" i="4"/>
  <c r="D83" i="4"/>
  <c r="I83" i="4"/>
  <c r="E84" i="4"/>
  <c r="F84" i="4" s="1"/>
  <c r="H84" i="4" s="1"/>
  <c r="E87" i="4"/>
  <c r="H87" i="4"/>
  <c r="E88" i="4"/>
  <c r="F88" i="4" s="1"/>
  <c r="H88" i="4" s="1"/>
  <c r="E89" i="4"/>
  <c r="F89" i="4" s="1"/>
  <c r="H89" i="4" s="1"/>
  <c r="E90" i="4"/>
  <c r="H90" i="4"/>
  <c r="H92" i="4"/>
  <c r="E93" i="4"/>
  <c r="H93" i="4"/>
  <c r="F96" i="4"/>
  <c r="G96" i="4" s="1"/>
  <c r="H96" i="4" s="1"/>
  <c r="D101" i="4"/>
  <c r="E104" i="4"/>
  <c r="F104" i="4" s="1"/>
  <c r="H104" i="4" s="1"/>
  <c r="E105" i="4"/>
  <c r="H105" i="4"/>
  <c r="E106" i="4"/>
  <c r="F106" i="4" s="1"/>
  <c r="E110" i="4"/>
  <c r="H110" i="4"/>
  <c r="F111" i="4"/>
  <c r="G111" i="4" s="1"/>
  <c r="E114" i="4"/>
  <c r="H114" i="4"/>
  <c r="E115" i="4"/>
  <c r="F115" i="4" s="1"/>
  <c r="H115" i="4" s="1"/>
  <c r="E116" i="4"/>
  <c r="F116" i="4" s="1"/>
  <c r="H116" i="4" s="1"/>
  <c r="E117" i="4"/>
  <c r="F117" i="4" s="1"/>
  <c r="H117" i="4" s="1"/>
  <c r="E127" i="4"/>
  <c r="F127" i="4" s="1"/>
  <c r="H127" i="4" s="1"/>
  <c r="H132" i="4"/>
  <c r="D140" i="4"/>
  <c r="G140" i="4"/>
  <c r="E141" i="4"/>
  <c r="E140" i="4" s="1"/>
  <c r="D159" i="4"/>
  <c r="G159" i="4"/>
  <c r="I159" i="4"/>
  <c r="E160" i="4"/>
  <c r="F162" i="4"/>
  <c r="H162" i="4" s="1"/>
  <c r="E163" i="4"/>
  <c r="F163" i="4" s="1"/>
  <c r="H163" i="4" s="1"/>
  <c r="F165" i="4"/>
  <c r="H165" i="4" s="1"/>
  <c r="H166" i="4"/>
  <c r="E149" i="4"/>
  <c r="F149" i="4" s="1"/>
  <c r="E150" i="4"/>
  <c r="H150" i="4"/>
  <c r="H151" i="4"/>
  <c r="E153" i="4"/>
  <c r="H153" i="4"/>
  <c r="E154" i="4"/>
  <c r="H154" i="4"/>
  <c r="E155" i="4"/>
  <c r="F155" i="4" s="1"/>
  <c r="H155" i="4" s="1"/>
  <c r="E169" i="4"/>
  <c r="F169" i="4" s="1"/>
  <c r="H169" i="4" s="1"/>
  <c r="E170" i="4"/>
  <c r="F170" i="4" s="1"/>
  <c r="H170" i="4" s="1"/>
  <c r="D171" i="4"/>
  <c r="G171" i="4"/>
  <c r="I171" i="4"/>
  <c r="H172" i="4"/>
  <c r="E173" i="4"/>
  <c r="E171" i="4" s="1"/>
  <c r="D174" i="4"/>
  <c r="G174" i="4"/>
  <c r="F175" i="4"/>
  <c r="E177" i="4"/>
  <c r="E174" i="4" s="1"/>
  <c r="D183" i="4"/>
  <c r="D45" i="4" s="1"/>
  <c r="E183" i="4"/>
  <c r="E45" i="4" s="1"/>
  <c r="F183" i="4"/>
  <c r="F45" i="4" s="1"/>
  <c r="G183" i="4"/>
  <c r="G45" i="4" s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C76" i="2"/>
  <c r="D76" i="2"/>
  <c r="E76" i="2"/>
  <c r="F76" i="2"/>
  <c r="G76" i="2"/>
  <c r="H76" i="2"/>
  <c r="I76" i="2"/>
  <c r="J76" i="2"/>
  <c r="K76" i="2"/>
  <c r="L76" i="2"/>
  <c r="M76" i="2"/>
  <c r="N76" i="2"/>
  <c r="N7" i="1"/>
  <c r="K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K65" i="1" s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/>
  <c r="H37" i="4" l="1"/>
  <c r="N65" i="1"/>
  <c r="N36" i="1"/>
  <c r="J101" i="4"/>
  <c r="J43" i="4"/>
  <c r="D184" i="4"/>
  <c r="H38" i="4"/>
  <c r="J171" i="4"/>
  <c r="H43" i="4"/>
  <c r="J4" i="4"/>
  <c r="J46" i="4"/>
  <c r="J159" i="4"/>
  <c r="G5" i="4"/>
  <c r="G4" i="4" s="1"/>
  <c r="H23" i="4"/>
  <c r="D4" i="4"/>
  <c r="J83" i="4"/>
  <c r="F5" i="4"/>
  <c r="E4" i="4"/>
  <c r="F39" i="4"/>
  <c r="H39" i="4" s="1"/>
  <c r="H6" i="4"/>
  <c r="I4" i="4"/>
  <c r="I43" i="4" s="1"/>
  <c r="I182" i="4" s="1"/>
  <c r="G184" i="4"/>
  <c r="F177" i="4"/>
  <c r="H177" i="4" s="1"/>
  <c r="F141" i="4"/>
  <c r="F140" i="4" s="1"/>
  <c r="E159" i="4"/>
  <c r="H182" i="4"/>
  <c r="E184" i="4"/>
  <c r="H175" i="4"/>
  <c r="F160" i="4"/>
  <c r="H160" i="4" s="1"/>
  <c r="H159" i="4" s="1"/>
  <c r="E101" i="4"/>
  <c r="G83" i="4"/>
  <c r="E46" i="4"/>
  <c r="F173" i="4"/>
  <c r="F171" i="4" s="1"/>
  <c r="H171" i="4" s="1"/>
  <c r="H83" i="4"/>
  <c r="E83" i="4"/>
  <c r="F101" i="4"/>
  <c r="H106" i="4"/>
  <c r="H45" i="4"/>
  <c r="G101" i="4"/>
  <c r="F83" i="4"/>
  <c r="F46" i="4"/>
  <c r="H46" i="4" s="1"/>
  <c r="H57" i="4"/>
  <c r="F184" i="4"/>
  <c r="H183" i="4"/>
  <c r="H149" i="4"/>
  <c r="H111" i="4"/>
  <c r="F4" i="4" l="1"/>
  <c r="H184" i="4"/>
  <c r="J182" i="4"/>
  <c r="F174" i="4"/>
  <c r="H174" i="4" s="1"/>
  <c r="H141" i="4"/>
  <c r="H140" i="4" s="1"/>
  <c r="H173" i="4"/>
  <c r="F159" i="4"/>
  <c r="H101" i="4"/>
  <c r="K184" i="4" l="1"/>
  <c r="F168" i="4"/>
  <c r="E168" i="4"/>
  <c r="I45" i="4"/>
  <c r="J45" i="4"/>
  <c r="H168" i="4"/>
  <c r="G168" i="4"/>
  <c r="J168" i="4"/>
  <c r="J183" i="4"/>
  <c r="J184" i="4"/>
  <c r="D168" i="4"/>
  <c r="I168" i="4"/>
  <c r="I183" i="4"/>
  <c r="I184" i="4"/>
</calcChain>
</file>

<file path=xl/sharedStrings.xml><?xml version="1.0" encoding="utf-8"?>
<sst xmlns="http://schemas.openxmlformats.org/spreadsheetml/2006/main" count="387" uniqueCount="350">
  <si>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</si>
  <si>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</si>
  <si>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</si>
  <si>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</si>
  <si>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</si>
  <si>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</si>
  <si>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</si>
  <si>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</si>
  <si>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</si>
  <si>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</si>
  <si>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</si>
  <si>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</si>
  <si>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</si>
  <si>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</si>
  <si>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</si>
  <si>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</si>
  <si>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</si>
  <si>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</si>
  <si>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</si>
  <si>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</si>
  <si>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</si>
  <si>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</si>
  <si>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</si>
  <si>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</si>
  <si>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</si>
  <si>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</si>
  <si>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</si>
  <si>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</si>
  <si>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</si>
  <si>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</si>
  <si>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</si>
  <si>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</si>
  <si>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</si>
  <si>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</si>
  <si>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</si>
  <si>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</si>
  <si>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</si>
  <si>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</si>
  <si>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</si>
  <si>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</si>
  <si>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</si>
  <si>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</si>
  <si>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</si>
  <si>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</si>
  <si>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</si>
  <si>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</si>
  <si>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</si>
  <si>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</si>
  <si>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</si>
  <si>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</si>
  <si>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</si>
  <si>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</si>
  <si>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</si>
  <si>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</si>
  <si>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</si>
  <si>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</si>
  <si>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</si>
  <si>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</si>
  <si>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</si>
  <si>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</si>
  <si>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</si>
  <si>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</si>
  <si>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</si>
  <si>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</si>
  <si>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</si>
  <si>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Materijal</t>
  </si>
  <si>
    <t>Ostali troškovi</t>
  </si>
  <si>
    <t>PLAN PRIHODA 2012.g.</t>
  </si>
  <si>
    <t>Planirani prijeđeni kilometri</t>
  </si>
  <si>
    <t>Usluge čišćenja</t>
  </si>
  <si>
    <t>Odvoz kućnog smeća</t>
  </si>
  <si>
    <t>Deponiranje otpada</t>
  </si>
  <si>
    <t>Pranje grada cisternom za vodu</t>
  </si>
  <si>
    <t>Održavanje oborinskih kanala</t>
  </si>
  <si>
    <t>Održavanje otvorenih oborinskih kanala</t>
  </si>
  <si>
    <t>Čišćenje oborinskih kanala</t>
  </si>
  <si>
    <t>Održavanje javnih i zelenih površina</t>
  </si>
  <si>
    <t>Održavanje dječijih igrališta i bočališta</t>
  </si>
  <si>
    <t>Održavanje javnih površina na Drveniku Velikom i Malom</t>
  </si>
  <si>
    <t>Održavanje plaža (čišćenje i nasipanje)</t>
  </si>
  <si>
    <t>Postavljanje novogodišnjih jelki</t>
  </si>
  <si>
    <t>Grad Trogir- odjel za turizam</t>
  </si>
  <si>
    <t>Uređenje zelenih površina prema trećim osobama</t>
  </si>
  <si>
    <t>Održavanje potpornih zidova</t>
  </si>
  <si>
    <t>Nabava i postava novih klupa</t>
  </si>
  <si>
    <t>Održavanje postojećih klupa</t>
  </si>
  <si>
    <t>Bojanje postojećih košara za smeće</t>
  </si>
  <si>
    <t>Popravak oštečenih kamenih ploča u staroj gradskoj jezgri</t>
  </si>
  <si>
    <t>Košnja strižnom kosom Brigi - Nasip</t>
  </si>
  <si>
    <t>Održavanje stupića, te zamjena postojećih čeličnih ograda</t>
  </si>
  <si>
    <t>Održavanje preostalih čeličnih ograda na Čiovu i Travarici</t>
  </si>
  <si>
    <t>Ukopi</t>
  </si>
  <si>
    <t>Održavannje groblja</t>
  </si>
  <si>
    <t>Izgradnja grobnica</t>
  </si>
  <si>
    <t>Grobarina</t>
  </si>
  <si>
    <t>Izmjena žarulja,prigušnica,rasvjetnih tijela</t>
  </si>
  <si>
    <t>Izmjena i popravak podzemnih kablova</t>
  </si>
  <si>
    <t>Izmjena i popravak metalnih i drvenih stupova</t>
  </si>
  <si>
    <t>Kontinuirana kontrola terena</t>
  </si>
  <si>
    <t>Radovi sa strojevima pri popravcima na terenu</t>
  </si>
  <si>
    <t>Kontrola i čitanje brojila javne rasvjete i kontrola ormarića</t>
  </si>
  <si>
    <t>Popravak kvarova u trafostanici sa radnicima elektre</t>
  </si>
  <si>
    <t>Ručno pometanje</t>
  </si>
  <si>
    <t>Pranje grada ručno</t>
  </si>
  <si>
    <t>Čišćenje oborinskih kanala i čupanje korova</t>
  </si>
  <si>
    <t>Pluralizam</t>
  </si>
  <si>
    <t>Oglašavanje</t>
  </si>
  <si>
    <t>Voditeljske usluge</t>
  </si>
  <si>
    <t>Tehničke usluge</t>
  </si>
  <si>
    <t>Izrada CD-a</t>
  </si>
  <si>
    <t>Izrada DVD-a</t>
  </si>
  <si>
    <t>Izrada plakata A3</t>
  </si>
  <si>
    <t>Izrada plakata A4</t>
  </si>
  <si>
    <t>Izrada vizitki</t>
  </si>
  <si>
    <t>Dnevna naplata</t>
  </si>
  <si>
    <t>Rezervacija</t>
  </si>
  <si>
    <t>Plaćanje po Ugovoru o zakupu tržnog prostora</t>
  </si>
  <si>
    <t>Dnevni polog</t>
  </si>
  <si>
    <t>Plaćanje po Ugovoru o zakupu prostora na ribarnici</t>
  </si>
  <si>
    <t>Grad</t>
  </si>
  <si>
    <t>Terminal</t>
  </si>
  <si>
    <t>Tržnica</t>
  </si>
  <si>
    <t>Naplata parking prostora T1</t>
  </si>
  <si>
    <t>Naplata parking prostora T2</t>
  </si>
  <si>
    <t>Naplata parking prostora T3</t>
  </si>
  <si>
    <t>Naplata parking prostora T4</t>
  </si>
  <si>
    <t>Naplata na autobusnom terminalu</t>
  </si>
  <si>
    <t>Prodane magnetske kartice</t>
  </si>
  <si>
    <t>Usluge pauka</t>
  </si>
  <si>
    <t>Lučka pristojba</t>
  </si>
  <si>
    <t>Privez i odvez brodova</t>
  </si>
  <si>
    <t>Naplata vode, struje i otpada brodovima</t>
  </si>
  <si>
    <t xml:space="preserve">Održavanje i sanacija zemljane obale </t>
  </si>
  <si>
    <t>Priprema u rad.i prijevoz materijala na radilište</t>
  </si>
  <si>
    <t>GRAD. ZEL.</t>
  </si>
  <si>
    <t>Nabava,postava i održavanje postojećih košarica za smeće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</si>
  <si>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</si>
  <si>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</si>
  <si>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</si>
  <si>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</si>
  <si>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</si>
  <si>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IZVANREDNI RASHODI</t>
  </si>
  <si>
    <t>UKUPNI PRIHODI</t>
  </si>
  <si>
    <t>Elektromaterijal</t>
  </si>
  <si>
    <t xml:space="preserve">Gorivo </t>
  </si>
  <si>
    <t>MATERIJALNI TROŠKOVI:</t>
  </si>
  <si>
    <t>Najamnine i zakupnine</t>
  </si>
  <si>
    <t>Troškovi usluga I.</t>
  </si>
  <si>
    <t>Troškovi usluga II.</t>
  </si>
  <si>
    <t>Troškovi vezani za službeni put</t>
  </si>
  <si>
    <t>Naknade troškova prijevoza zaposlenima</t>
  </si>
  <si>
    <t xml:space="preserve">Otpremnine </t>
  </si>
  <si>
    <t>Troškovi reprezentacije</t>
  </si>
  <si>
    <t>Ugovori o djelu i honorari</t>
  </si>
  <si>
    <t>Doprinosi na plaće</t>
  </si>
  <si>
    <t>Dnevnice za službeni put</t>
  </si>
  <si>
    <t>Kamate</t>
  </si>
  <si>
    <t>Manjkovi usljed provale i krađe</t>
  </si>
  <si>
    <t xml:space="preserve">Prihodi od smetlarine </t>
  </si>
  <si>
    <t>Prihodi od parkinga</t>
  </si>
  <si>
    <t>Prihodi od magnetske kartice</t>
  </si>
  <si>
    <t>Prihodi od tržnice</t>
  </si>
  <si>
    <t>Prihodi od gradski radio</t>
  </si>
  <si>
    <t>Prihodi od pauka</t>
  </si>
  <si>
    <t>Prihodi od prijevoza vode</t>
  </si>
  <si>
    <t>Prihodi od režije u najmu</t>
  </si>
  <si>
    <t>Prihodi od ribarnice</t>
  </si>
  <si>
    <t>Prihodi grobne naknade</t>
  </si>
  <si>
    <t>Prihodi  knjigovodstvene usluge Dobrić</t>
  </si>
  <si>
    <t>FINANCIJSKI PRIHODI:</t>
  </si>
  <si>
    <t>IZVANREDNI  PRIHODI :</t>
  </si>
  <si>
    <t>Negativne tečajne razlike po kreditima</t>
  </si>
  <si>
    <t>INDEX (4:3)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</si>
  <si>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</si>
  <si>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</si>
  <si>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</si>
  <si>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</si>
  <si>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</si>
  <si>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</si>
  <si>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</si>
  <si>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</si>
  <si>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Gnojiva i zaštitna sredstva</t>
  </si>
  <si>
    <t>Vodoinstalacijski materijal</t>
  </si>
  <si>
    <t>Naknadno utvrđeni troškovi</t>
  </si>
  <si>
    <t>Usluge tekućeg održavanja - obrada taho listića</t>
  </si>
  <si>
    <t>Električna energija -distribucija</t>
  </si>
  <si>
    <t>Električna energija -opskrba</t>
  </si>
  <si>
    <t>Naknade članovima nadzornog odbora</t>
  </si>
  <si>
    <t>DOBITAK/(-)GUBITAK</t>
  </si>
  <si>
    <t>POZICIJA PLANA</t>
  </si>
  <si>
    <t>PLAN ZA 2013.g.</t>
  </si>
  <si>
    <t>PROCJENA ZA 2012.g.</t>
  </si>
  <si>
    <t>Prihodi od crpljenja</t>
  </si>
  <si>
    <t>PLAN PRIHODA 2013.g.</t>
  </si>
  <si>
    <t>PLAN RASHODA 2013.g.</t>
  </si>
  <si>
    <t>Alati i pribor</t>
  </si>
  <si>
    <t>Prijevozničke usluge u pomorskom prometu</t>
  </si>
  <si>
    <t>Prijevozničke usluge u cestovnom prometu, cestarine i dr.</t>
  </si>
  <si>
    <t>Naknade za korištenje ostalih prava , mediji</t>
  </si>
  <si>
    <t>Usluge održavanja software-a LIBUSOFT</t>
  </si>
  <si>
    <t>Cestarine, mostarine, tunelarine i ostali prijevoz</t>
  </si>
  <si>
    <t>Troškovi stručne literature i tiska</t>
  </si>
  <si>
    <t>Ostale potpore i naknade radnicima</t>
  </si>
  <si>
    <t>Građevinske usluge deponij</t>
  </si>
  <si>
    <t>Objava oglasa</t>
  </si>
  <si>
    <t>Auto ulja i maziva</t>
  </si>
  <si>
    <t xml:space="preserve">Usluge student servisa </t>
  </si>
  <si>
    <t>PLAN ZA 2015.g.</t>
  </si>
  <si>
    <t>Materijal-ostali</t>
  </si>
  <si>
    <t>Materijal za čišćenje</t>
  </si>
  <si>
    <t>Ostale komunalne usluge</t>
  </si>
  <si>
    <t>Građevinski materijal - KAMENI AGREGAT</t>
  </si>
  <si>
    <t>Javnobilježničke naknade</t>
  </si>
  <si>
    <t>Prihodi od WC-a</t>
  </si>
  <si>
    <t xml:space="preserve">Prihodi od prodaje grobnica </t>
  </si>
  <si>
    <t xml:space="preserve">   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</si>
  <si>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</si>
  <si>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</si>
  <si>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</si>
  <si>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</si>
  <si>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</si>
  <si>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Ostale nagrade zaposlenima</t>
  </si>
  <si>
    <t>Prihodi od TUŠ-a</t>
  </si>
  <si>
    <t>FINANCIJSKI RASHODI (TROŠKOVI)</t>
  </si>
  <si>
    <t>Prihodi od kamata i ostali financijski prihodi</t>
  </si>
  <si>
    <t>Prihodi od dotacija, darova i subvencije</t>
  </si>
  <si>
    <t>Prihod od čistača - Brodotrogira</t>
  </si>
  <si>
    <t>Darovanja do porezno priznatih rashoda</t>
  </si>
  <si>
    <t>Zbrinjavanje životinjskih nusproizvoda</t>
  </si>
  <si>
    <t>Deratizacija i dezinsekcija</t>
  </si>
  <si>
    <t xml:space="preserve">Amortizacija </t>
  </si>
  <si>
    <t xml:space="preserve">Prihodi  ostalo  </t>
  </si>
  <si>
    <t>Ostvarenje</t>
  </si>
  <si>
    <t>Prihodi od groblje (UKOPI,prijenos vlas.)</t>
  </si>
  <si>
    <t>Naknade za usluge banaka i usl.za plat.promet</t>
  </si>
  <si>
    <t>Vrijednosno usklađivanje potraživanja</t>
  </si>
  <si>
    <t xml:space="preserve">Građevinski materijal </t>
  </si>
  <si>
    <t xml:space="preserve">Prihodi od prijevoza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</si>
  <si>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</si>
  <si>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</si>
  <si>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</si>
  <si>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</si>
  <si>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</si>
  <si>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</si>
  <si>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Sanacija divljih deponija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</si>
  <si>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</si>
  <si>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</si>
  <si>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</si>
  <si>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</si>
  <si>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</si>
  <si>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</si>
  <si>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</si>
  <si>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</si>
  <si>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</si>
  <si>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</si>
  <si>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</si>
  <si>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</si>
  <si>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</si>
  <si>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</si>
  <si>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Prihodi od ukidanja rezerviranja</t>
  </si>
  <si>
    <t>Otpis obveza prema dobavljačima</t>
  </si>
  <si>
    <t>Geodetske usluge</t>
  </si>
  <si>
    <t>Neotpisana vrijednost otuđ.i rash.im.</t>
  </si>
  <si>
    <t>Usl.plana sanacije</t>
  </si>
  <si>
    <t>Rezerviranja troškova</t>
  </si>
  <si>
    <t>Uredski materijal i toneri</t>
  </si>
  <si>
    <t>Auto dijelovi - transportna sredstva</t>
  </si>
  <si>
    <t xml:space="preserve">Usluge servisa vozila </t>
  </si>
  <si>
    <t>Usluge pravnog savjetovanja</t>
  </si>
  <si>
    <t>Usluge pravnog zastupanja</t>
  </si>
  <si>
    <t xml:space="preserve">Usluge/ premije osiguranja vozila </t>
  </si>
  <si>
    <t>Usluge osiguranja od odgovornosti</t>
  </si>
  <si>
    <t>Vrećice za otpad</t>
  </si>
  <si>
    <t>Kartice evidencije ulaza i izlaza na park.</t>
  </si>
  <si>
    <t xml:space="preserve">Otpis autoguma /autogume </t>
  </si>
  <si>
    <t>Rezervni dijelovi za strojeve /pile, traktore,trav./</t>
  </si>
  <si>
    <t>Rezervni dijelovi za parking sustav</t>
  </si>
  <si>
    <t>Usluge fiksne telefonije i interneta</t>
  </si>
  <si>
    <t>Usluge stručnog usavršavanja</t>
  </si>
  <si>
    <t>Zbrinjavanje građ.i glom.otpada</t>
  </si>
  <si>
    <t>Sustav evidencije otpada</t>
  </si>
  <si>
    <t>Čipovi za evidentiranje posuda za otpad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</si>
  <si>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</si>
  <si>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</si>
  <si>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</si>
  <si>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</si>
  <si>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</si>
  <si>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</si>
  <si>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</si>
  <si>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</si>
  <si>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Veterinarske usluge</t>
  </si>
  <si>
    <t>PLAN ZA 2018.g.</t>
  </si>
  <si>
    <t>Sistematski pregledi radnika</t>
  </si>
  <si>
    <t>Tehnički i periodički pregled vozila</t>
  </si>
  <si>
    <t>Usluge održavanja software-a  PAUK-RING</t>
  </si>
  <si>
    <t>Usluge održavanja sustava  M.parking-INFO</t>
  </si>
  <si>
    <t>Usluge održavanja sustava Wastecontrol</t>
  </si>
  <si>
    <t>Usluge održavanja sustava - T COM</t>
  </si>
  <si>
    <t>Usluge održavanja sustava -dojavni sus.TP L.</t>
  </si>
  <si>
    <t>Usluge održavanja sustava GPS CVP</t>
  </si>
  <si>
    <t>Usluge održavanja software-a - PARKIS RAO</t>
  </si>
  <si>
    <t>Usluge blagdansko ukrašavanje</t>
  </si>
  <si>
    <t xml:space="preserve">Radio oprema  </t>
  </si>
  <si>
    <r>
      <t xml:space="preserve">Auto dijelovi - osobna vozila </t>
    </r>
    <r>
      <rPr>
        <sz val="10"/>
        <color rgb="FFFF0000"/>
        <rFont val="Calibri"/>
        <family val="2"/>
        <charset val="238"/>
      </rPr>
      <t xml:space="preserve"> </t>
    </r>
  </si>
  <si>
    <t>TROŠKOVI AMORTIZACIJE:/43/</t>
  </si>
  <si>
    <t>REZERVIRANJA TROŠKOVA /45/</t>
  </si>
  <si>
    <t>OSTALI TROŠKOVI:/46/</t>
  </si>
  <si>
    <t>NAKNADE TROŠKOVA RADNIKA I OST.MAT.</t>
  </si>
  <si>
    <t>XIII</t>
  </si>
  <si>
    <t>VRIJEDNOSNO USKLAĐ.POTRAŽIVANJA</t>
  </si>
  <si>
    <t>TROŠKOVI OSOBLJA</t>
  </si>
  <si>
    <t>XIV</t>
  </si>
  <si>
    <t>XV</t>
  </si>
  <si>
    <t>I</t>
  </si>
  <si>
    <t>R A S H O D I</t>
  </si>
  <si>
    <t xml:space="preserve">P R I H O D I </t>
  </si>
  <si>
    <t xml:space="preserve">Prihodi od groblja ( održ.)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</si>
  <si>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</si>
  <si>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</si>
  <si>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</si>
  <si>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</si>
  <si>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</si>
  <si>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Održavanje oborinskih kanala  </t>
  </si>
  <si>
    <t xml:space="preserve">Blagdansko ukrašavanje grada  </t>
  </si>
  <si>
    <t xml:space="preserve">Prihodi od sanacije divljih depon. </t>
  </si>
  <si>
    <t>UKUPNI RASHODI</t>
  </si>
  <si>
    <t>Odvoz i zbrinjavanje otpada na lokaciji Pantan</t>
  </si>
  <si>
    <t>Usluge zbrinjavanja otpadnih ulja</t>
  </si>
  <si>
    <t>Zdravstveni pregledi radnika</t>
  </si>
  <si>
    <t>Boje, lakovi i razređivači</t>
  </si>
  <si>
    <t>Usluge održavanja sustava parking -ECCOS</t>
  </si>
  <si>
    <t>48.1</t>
  </si>
  <si>
    <t>23.1</t>
  </si>
  <si>
    <t>Revizorske usluge</t>
  </si>
  <si>
    <t>Servis vozila</t>
  </si>
  <si>
    <t>Kante</t>
  </si>
  <si>
    <t>Klupe</t>
  </si>
  <si>
    <t>Koševi</t>
  </si>
  <si>
    <t>Spremnici od 1100</t>
  </si>
  <si>
    <t>Usluga sakupljanja glomaznog otpada</t>
  </si>
  <si>
    <t>10.1</t>
  </si>
  <si>
    <t>Najam komunalnog vozila</t>
  </si>
  <si>
    <t>50.1</t>
  </si>
  <si>
    <t>Usluge izrade cjenika</t>
  </si>
  <si>
    <t>Usluge reklame i promidžbe</t>
  </si>
  <si>
    <t>14.1</t>
  </si>
  <si>
    <t>Usluge rovokopača</t>
  </si>
  <si>
    <t>16.1</t>
  </si>
  <si>
    <t>Prihodi od Lučke uprave</t>
  </si>
  <si>
    <t xml:space="preserve">   4. IZMJENA FINANCIJSKOG PLANA ZA 2018. 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</si>
</sst>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6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8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5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4" fontId="0" fillId="0" borderId="0" xfId="0" applyNumberFormat="1"/>
    <xf numFmtId="0" fontId="6" fillId="0" borderId="18" xfId="0" applyFont="1" applyBorder="1" applyAlignment="1">
      <alignment horizontal="center"/>
    </xf>
    <xf numFmtId="0" fontId="0" fillId="0" borderId="1" xfId="0" applyBorder="1"/>
    <xf numFmtId="164" fontId="5" fillId="0" borderId="2" xfId="1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2" xfId="1" applyNumberFormat="1" applyFont="1" applyBorder="1"/>
    <xf numFmtId="4" fontId="5" fillId="0" borderId="1" xfId="1" applyNumberFormat="1" applyFont="1" applyBorder="1"/>
    <xf numFmtId="4" fontId="5" fillId="0" borderId="2" xfId="1" applyNumberFormat="1" applyFont="1" applyBorder="1"/>
    <xf numFmtId="0" fontId="0" fillId="0" borderId="19" xfId="0" applyBorder="1"/>
    <xf numFmtId="0" fontId="0" fillId="0" borderId="2" xfId="0" applyBorder="1"/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/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4" xfId="1" applyFont="1" applyBorder="1"/>
    <xf numFmtId="0" fontId="6" fillId="0" borderId="4" xfId="0" applyFont="1" applyFill="1" applyBorder="1"/>
    <xf numFmtId="0" fontId="6" fillId="0" borderId="5" xfId="1" applyFont="1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0" xfId="0" applyBorder="1"/>
    <xf numFmtId="0" fontId="0" fillId="0" borderId="14" xfId="0" applyBorder="1"/>
    <xf numFmtId="0" fontId="6" fillId="0" borderId="17" xfId="0" applyFont="1" applyFill="1" applyBorder="1"/>
    <xf numFmtId="0" fontId="8" fillId="0" borderId="2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2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6" fillId="0" borderId="25" xfId="0" applyNumberFormat="1" applyFont="1" applyBorder="1"/>
    <xf numFmtId="4" fontId="11" fillId="2" borderId="2" xfId="0" applyNumberFormat="1" applyFont="1" applyFill="1" applyBorder="1" applyAlignment="1">
      <alignment horizontal="right"/>
    </xf>
    <xf numFmtId="0" fontId="11" fillId="2" borderId="2" xfId="0" applyFont="1" applyFill="1" applyBorder="1"/>
    <xf numFmtId="4" fontId="11" fillId="2" borderId="2" xfId="0" applyNumberFormat="1" applyFont="1" applyFill="1" applyBorder="1" applyAlignment="1">
      <alignment horizontal="center" wrapText="1"/>
    </xf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1" fontId="11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11" fillId="2" borderId="2" xfId="0" applyNumberFormat="1" applyFont="1" applyFill="1" applyBorder="1" applyAlignment="1">
      <alignment horizontal="center"/>
    </xf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right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4" fontId="11" fillId="2" borderId="14" xfId="0" applyNumberFormat="1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left"/>
    </xf>
    <xf numFmtId="4" fontId="11" fillId="2" borderId="27" xfId="0" applyNumberFormat="1" applyFont="1" applyFill="1" applyBorder="1" applyAlignment="1">
      <alignment horizontal="center" wrapText="1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4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7" xfId="0" applyFont="1" applyFill="1" applyBorder="1"/>
    <xf numFmtId="0" fontId="11" fillId="2" borderId="27" xfId="0" applyNumberFormat="1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right"/>
    </xf>
    <xf numFmtId="0" fontId="10" fillId="2" borderId="11" xfId="0" applyFont="1" applyFill="1" applyBorder="1"/>
    <xf numFmtId="0" fontId="11" fillId="2" borderId="14" xfId="0" applyNumberFormat="1" applyFont="1" applyFill="1" applyBorder="1" applyAlignment="1">
      <alignment horizontal="center"/>
    </xf>
    <xf numFmtId="0" fontId="11" fillId="2" borderId="14" xfId="0" applyFont="1" applyFill="1" applyBorder="1"/>
    <xf numFmtId="4" fontId="11" fillId="2" borderId="14" xfId="0" applyNumberFormat="1" applyFont="1" applyFill="1" applyBorder="1" applyAlignment="1">
      <alignment horizontal="right"/>
    </xf>
    <xf numFmtId="1" fontId="11" fillId="2" borderId="27" xfId="0" applyNumberFormat="1" applyFont="1" applyFill="1" applyBorder="1" applyAlignment="1">
      <alignment horizontal="center"/>
    </xf>
    <xf numFmtId="1" fontId="11" fillId="2" borderId="14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 wrapText="1"/>
    </xf>
    <xf numFmtId="0" fontId="11" fillId="2" borderId="1" xfId="0" applyFont="1" applyFill="1" applyBorder="1"/>
    <xf numFmtId="4" fontId="11" fillId="2" borderId="1" xfId="0" applyNumberFormat="1" applyFont="1" applyFill="1" applyBorder="1" applyAlignment="1">
      <alignment horizontal="right"/>
    </xf>
    <xf numFmtId="0" fontId="11" fillId="2" borderId="30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49" fontId="11" fillId="2" borderId="27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" fontId="13" fillId="0" borderId="0" xfId="0" applyNumberFormat="1" applyFont="1"/>
    <xf numFmtId="49" fontId="14" fillId="0" borderId="11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1" fontId="10" fillId="2" borderId="10" xfId="0" applyNumberFormat="1" applyFont="1" applyFill="1" applyBorder="1" applyAlignment="1">
      <alignment horizontal="right" wrapText="1"/>
    </xf>
    <xf numFmtId="4" fontId="10" fillId="2" borderId="11" xfId="0" applyNumberFormat="1" applyFont="1" applyFill="1" applyBorder="1" applyAlignment="1">
      <alignment vertical="top" wrapText="1"/>
    </xf>
    <xf numFmtId="4" fontId="14" fillId="2" borderId="11" xfId="0" applyNumberFormat="1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right"/>
    </xf>
    <xf numFmtId="4" fontId="11" fillId="2" borderId="27" xfId="0" applyNumberFormat="1" applyFont="1" applyFill="1" applyBorder="1" applyAlignment="1"/>
    <xf numFmtId="4" fontId="11" fillId="2" borderId="27" xfId="0" applyNumberFormat="1" applyFont="1" applyFill="1" applyBorder="1" applyAlignment="1">
      <alignment vertical="top" wrapText="1"/>
    </xf>
    <xf numFmtId="4" fontId="13" fillId="2" borderId="2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right"/>
    </xf>
    <xf numFmtId="4" fontId="11" fillId="2" borderId="2" xfId="0" applyNumberFormat="1" applyFont="1" applyFill="1" applyBorder="1" applyAlignment="1"/>
    <xf numFmtId="4" fontId="11" fillId="2" borderId="2" xfId="0" applyNumberFormat="1" applyFont="1" applyFill="1" applyBorder="1" applyAlignment="1">
      <alignment vertical="top" wrapText="1"/>
    </xf>
    <xf numFmtId="4" fontId="13" fillId="2" borderId="2" xfId="0" applyNumberFormat="1" applyFont="1" applyFill="1" applyBorder="1" applyAlignment="1">
      <alignment vertical="top" wrapText="1"/>
    </xf>
    <xf numFmtId="17" fontId="10" fillId="2" borderId="8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right"/>
    </xf>
    <xf numFmtId="4" fontId="11" fillId="2" borderId="14" xfId="0" applyNumberFormat="1" applyFont="1" applyFill="1" applyBorder="1" applyAlignment="1"/>
    <xf numFmtId="4" fontId="11" fillId="2" borderId="14" xfId="0" applyNumberFormat="1" applyFont="1" applyFill="1" applyBorder="1" applyAlignment="1">
      <alignment vertical="top" wrapText="1"/>
    </xf>
    <xf numFmtId="4" fontId="13" fillId="2" borderId="14" xfId="0" applyNumberFormat="1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right"/>
    </xf>
    <xf numFmtId="4" fontId="10" fillId="2" borderId="11" xfId="0" applyNumberFormat="1" applyFont="1" applyFill="1" applyBorder="1" applyAlignment="1"/>
    <xf numFmtId="4" fontId="14" fillId="2" borderId="11" xfId="0" applyNumberFormat="1" applyFont="1" applyFill="1" applyBorder="1" applyAlignment="1"/>
    <xf numFmtId="0" fontId="10" fillId="2" borderId="6" xfId="0" applyFont="1" applyFill="1" applyBorder="1" applyAlignment="1">
      <alignment horizontal="right"/>
    </xf>
    <xf numFmtId="4" fontId="11" fillId="2" borderId="1" xfId="0" applyNumberFormat="1" applyFont="1" applyFill="1" applyBorder="1" applyAlignment="1"/>
    <xf numFmtId="4" fontId="11" fillId="2" borderId="1" xfId="0" applyNumberFormat="1" applyFont="1" applyFill="1" applyBorder="1" applyAlignment="1">
      <alignment vertical="top" wrapText="1"/>
    </xf>
    <xf numFmtId="4" fontId="13" fillId="0" borderId="1" xfId="0" applyNumberFormat="1" applyFont="1" applyBorder="1"/>
    <xf numFmtId="4" fontId="13" fillId="0" borderId="27" xfId="0" applyNumberFormat="1" applyFont="1" applyBorder="1"/>
    <xf numFmtId="4" fontId="13" fillId="0" borderId="2" xfId="0" applyNumberFormat="1" applyFont="1" applyBorder="1"/>
    <xf numFmtId="4" fontId="13" fillId="0" borderId="14" xfId="0" applyNumberFormat="1" applyFont="1" applyBorder="1"/>
    <xf numFmtId="4" fontId="14" fillId="2" borderId="12" xfId="0" applyNumberFormat="1" applyFont="1" applyFill="1" applyBorder="1" applyAlignment="1"/>
    <xf numFmtId="49" fontId="14" fillId="0" borderId="12" xfId="0" applyNumberFormat="1" applyFont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wrapText="1"/>
    </xf>
    <xf numFmtId="1" fontId="10" fillId="2" borderId="11" xfId="0" applyNumberFormat="1" applyFont="1" applyFill="1" applyBorder="1" applyAlignment="1">
      <alignment horizontal="right" wrapText="1"/>
    </xf>
    <xf numFmtId="4" fontId="14" fillId="2" borderId="11" xfId="0" applyNumberFormat="1" applyFont="1" applyFill="1" applyBorder="1" applyAlignment="1">
      <alignment horizontal="right"/>
    </xf>
    <xf numFmtId="4" fontId="14" fillId="0" borderId="11" xfId="0" applyNumberFormat="1" applyFont="1" applyBorder="1"/>
    <xf numFmtId="0" fontId="10" fillId="2" borderId="2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right"/>
    </xf>
    <xf numFmtId="4" fontId="11" fillId="2" borderId="11" xfId="0" applyNumberFormat="1" applyFont="1" applyFill="1" applyBorder="1" applyAlignment="1"/>
    <xf numFmtId="0" fontId="10" fillId="2" borderId="29" xfId="0" applyFont="1" applyFill="1" applyBorder="1" applyAlignment="1">
      <alignment horizontal="right"/>
    </xf>
    <xf numFmtId="0" fontId="10" fillId="2" borderId="30" xfId="0" applyFont="1" applyFill="1" applyBorder="1"/>
    <xf numFmtId="4" fontId="10" fillId="2" borderId="30" xfId="0" applyNumberFormat="1" applyFont="1" applyFill="1" applyBorder="1" applyAlignment="1">
      <alignment horizontal="right"/>
    </xf>
    <xf numFmtId="4" fontId="10" fillId="2" borderId="30" xfId="0" applyNumberFormat="1" applyFont="1" applyFill="1" applyBorder="1" applyAlignment="1"/>
    <xf numFmtId="4" fontId="10" fillId="2" borderId="30" xfId="0" applyNumberFormat="1" applyFont="1" applyFill="1" applyBorder="1" applyAlignment="1">
      <alignment horizontal="center" wrapText="1"/>
    </xf>
    <xf numFmtId="4" fontId="14" fillId="2" borderId="30" xfId="0" applyNumberFormat="1" applyFont="1" applyFill="1" applyBorder="1" applyAlignment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3.2" x14ac:dyDescent="0.25"/>
  <cols>
    <col min="1" max="1" width="25.5546875" customWidth="1"/>
    <col min="2" max="2" width="8.88671875" customWidth="1"/>
    <col min="3" max="3" width="8.5546875" customWidth="1"/>
    <col min="4" max="4" width="10.44140625" customWidth="1"/>
    <col min="5" max="5" width="9" customWidth="1"/>
    <col min="6" max="6" width="8.5546875" customWidth="1"/>
    <col min="7" max="7" width="11.5546875" customWidth="1"/>
    <col min="8" max="8" width="7.5546875" customWidth="1"/>
    <col min="9" max="9" width="8.88671875" customWidth="1"/>
    <col min="10" max="10" width="8.5546875" customWidth="1"/>
    <col min="11" max="11" width="7.5546875" customWidth="1"/>
    <col min="12" max="12" width="9.44140625" customWidth="1"/>
    <col min="13" max="13" width="10" customWidth="1"/>
    <col min="14" max="14" width="9.44140625" customWidth="1"/>
  </cols>
  <sheetData>
    <row r="3" spans="1:14" ht="15.6" x14ac:dyDescent="0.3">
      <c r="B3" s="1" t="s">
        <v>194</v>
      </c>
    </row>
    <row r="5" spans="1:14" ht="13.8" thickBot="1" x14ac:dyDescent="0.3"/>
    <row r="6" spans="1:14" ht="13.8" thickBot="1" x14ac:dyDescent="0.3">
      <c r="A6" s="2"/>
      <c r="B6" s="27" t="s">
        <v>0</v>
      </c>
      <c r="C6" s="28" t="s">
        <v>7</v>
      </c>
      <c r="D6" s="28" t="s">
        <v>1</v>
      </c>
      <c r="E6" s="28" t="s">
        <v>2</v>
      </c>
      <c r="F6" s="28" t="s">
        <v>3</v>
      </c>
      <c r="G6" s="28" t="s">
        <v>8</v>
      </c>
      <c r="H6" s="28" t="s">
        <v>4</v>
      </c>
      <c r="I6" s="28" t="s">
        <v>9</v>
      </c>
      <c r="J6" s="28" t="s">
        <v>5</v>
      </c>
      <c r="K6" s="28" t="s">
        <v>6</v>
      </c>
      <c r="L6" s="28" t="s">
        <v>10</v>
      </c>
      <c r="M6" s="28" t="s">
        <v>11</v>
      </c>
      <c r="N6" s="29" t="s">
        <v>13</v>
      </c>
    </row>
    <row r="7" spans="1:14" x14ac:dyDescent="0.25">
      <c r="A7" s="71" t="s">
        <v>12</v>
      </c>
      <c r="B7" s="78">
        <v>2214900</v>
      </c>
      <c r="C7" s="79">
        <v>915692.82</v>
      </c>
      <c r="D7" s="79">
        <v>1255110</v>
      </c>
      <c r="E7" s="79">
        <v>1561505</v>
      </c>
      <c r="F7" s="79">
        <v>739776.6</v>
      </c>
      <c r="G7" s="79">
        <v>1243492.3500000001</v>
      </c>
      <c r="H7" s="79">
        <v>518286.6</v>
      </c>
      <c r="I7" s="79">
        <v>400869.97</v>
      </c>
      <c r="J7" s="79">
        <v>1033620</v>
      </c>
      <c r="K7" s="79">
        <v>496137.6</v>
      </c>
      <c r="L7" s="79">
        <v>671853</v>
      </c>
      <c r="M7" s="79">
        <v>1948159.59</v>
      </c>
      <c r="N7" s="80">
        <f>SUM(B7:M7)</f>
        <v>12999403.529999999</v>
      </c>
    </row>
    <row r="8" spans="1:14" x14ac:dyDescent="0.25">
      <c r="A8" s="72" t="s">
        <v>14</v>
      </c>
      <c r="B8" s="21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2">
        <f t="shared" ref="N8:N64" si="0">SUM(B8:M8)</f>
        <v>117272</v>
      </c>
    </row>
    <row r="9" spans="1:14" x14ac:dyDescent="0.25">
      <c r="A9" s="73" t="s">
        <v>15</v>
      </c>
      <c r="B9" s="19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20">
        <f t="shared" si="0"/>
        <v>130000</v>
      </c>
    </row>
    <row r="10" spans="1:14" x14ac:dyDescent="0.25">
      <c r="A10" s="72" t="s">
        <v>16</v>
      </c>
      <c r="B10" s="21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2">
        <f t="shared" si="0"/>
        <v>100000</v>
      </c>
    </row>
    <row r="11" spans="1:14" x14ac:dyDescent="0.25">
      <c r="A11" s="73" t="s">
        <v>17</v>
      </c>
      <c r="B11" s="19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0">
        <f t="shared" si="0"/>
        <v>30000</v>
      </c>
    </row>
    <row r="12" spans="1:14" x14ac:dyDescent="0.25">
      <c r="A12" s="72" t="s">
        <v>18</v>
      </c>
      <c r="B12" s="21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">
        <f t="shared" si="0"/>
        <v>10000</v>
      </c>
    </row>
    <row r="13" spans="1:14" x14ac:dyDescent="0.25">
      <c r="A13" s="73" t="s">
        <v>19</v>
      </c>
      <c r="B13" s="19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>
        <f t="shared" si="0"/>
        <v>15000</v>
      </c>
    </row>
    <row r="14" spans="1:14" x14ac:dyDescent="0.25">
      <c r="A14" s="72" t="s">
        <v>20</v>
      </c>
      <c r="B14" s="21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">
        <f t="shared" si="0"/>
        <v>15000</v>
      </c>
    </row>
    <row r="15" spans="1:14" x14ac:dyDescent="0.25">
      <c r="A15" s="73" t="s">
        <v>21</v>
      </c>
      <c r="B15" s="19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>
        <f t="shared" si="0"/>
        <v>30000</v>
      </c>
    </row>
    <row r="16" spans="1:14" x14ac:dyDescent="0.25">
      <c r="A16" s="72" t="s">
        <v>22</v>
      </c>
      <c r="B16" s="21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2">
        <f t="shared" si="0"/>
        <v>40000</v>
      </c>
    </row>
    <row r="17" spans="1:14" x14ac:dyDescent="0.25">
      <c r="A17" s="73" t="s">
        <v>23</v>
      </c>
      <c r="B17" s="19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20">
        <f t="shared" si="0"/>
        <v>87000</v>
      </c>
    </row>
    <row r="18" spans="1:14" x14ac:dyDescent="0.25">
      <c r="A18" s="72" t="s">
        <v>24</v>
      </c>
      <c r="B18" s="21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2">
        <f t="shared" si="0"/>
        <v>155000</v>
      </c>
    </row>
    <row r="19" spans="1:14" x14ac:dyDescent="0.25">
      <c r="A19" s="73" t="s">
        <v>25</v>
      </c>
      <c r="B19" s="19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>
        <f t="shared" si="0"/>
        <v>60000</v>
      </c>
    </row>
    <row r="20" spans="1:14" x14ac:dyDescent="0.25">
      <c r="A20" s="72" t="s">
        <v>26</v>
      </c>
      <c r="B20" s="21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2">
        <f t="shared" si="0"/>
        <v>50000</v>
      </c>
    </row>
    <row r="21" spans="1:14" x14ac:dyDescent="0.25">
      <c r="A21" s="73" t="s">
        <v>27</v>
      </c>
      <c r="B21" s="19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0">
        <f t="shared" si="0"/>
        <v>100000</v>
      </c>
    </row>
    <row r="22" spans="1:14" x14ac:dyDescent="0.25">
      <c r="A22" s="72" t="s">
        <v>28</v>
      </c>
      <c r="B22" s="21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2">
        <f t="shared" si="0"/>
        <v>50000</v>
      </c>
    </row>
    <row r="23" spans="1:14" x14ac:dyDescent="0.25">
      <c r="A23" s="73" t="s">
        <v>29</v>
      </c>
      <c r="B23" s="19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0">
        <f t="shared" si="0"/>
        <v>15000</v>
      </c>
    </row>
    <row r="24" spans="1:14" x14ac:dyDescent="0.25">
      <c r="A24" s="72" t="s">
        <v>30</v>
      </c>
      <c r="B24" s="21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2">
        <f t="shared" si="0"/>
        <v>20000</v>
      </c>
    </row>
    <row r="25" spans="1:14" x14ac:dyDescent="0.25">
      <c r="A25" s="73" t="s">
        <v>31</v>
      </c>
      <c r="B25" s="19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20">
        <f t="shared" si="0"/>
        <v>150000</v>
      </c>
    </row>
    <row r="26" spans="1:14" x14ac:dyDescent="0.25">
      <c r="A26" s="72" t="s">
        <v>32</v>
      </c>
      <c r="B26" s="21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2">
        <f t="shared" si="0"/>
        <v>60000</v>
      </c>
    </row>
    <row r="27" spans="1:14" x14ac:dyDescent="0.25">
      <c r="A27" s="73" t="s">
        <v>33</v>
      </c>
      <c r="B27" s="19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74">
        <f t="shared" si="0"/>
        <v>128000</v>
      </c>
    </row>
    <row r="28" spans="1:14" x14ac:dyDescent="0.25">
      <c r="A28" s="72" t="s">
        <v>137</v>
      </c>
      <c r="B28" s="21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75">
        <f t="shared" si="0"/>
        <v>100000</v>
      </c>
    </row>
    <row r="29" spans="1:14" x14ac:dyDescent="0.25">
      <c r="A29" s="73" t="s">
        <v>34</v>
      </c>
      <c r="B29" s="19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4">
        <f t="shared" si="0"/>
        <v>10000</v>
      </c>
    </row>
    <row r="30" spans="1:14" x14ac:dyDescent="0.25">
      <c r="A30" s="72" t="s">
        <v>35</v>
      </c>
      <c r="B30" s="21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75">
        <f t="shared" si="0"/>
        <v>80000</v>
      </c>
    </row>
    <row r="31" spans="1:14" x14ac:dyDescent="0.25">
      <c r="A31" s="73" t="s">
        <v>36</v>
      </c>
      <c r="B31" s="19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4">
        <f t="shared" si="0"/>
        <v>50000</v>
      </c>
    </row>
    <row r="32" spans="1:14" x14ac:dyDescent="0.25">
      <c r="A32" s="72" t="s">
        <v>37</v>
      </c>
      <c r="B32" s="21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5">
        <f t="shared" si="0"/>
        <v>10000</v>
      </c>
    </row>
    <row r="33" spans="1:14" x14ac:dyDescent="0.25">
      <c r="A33" s="73" t="s">
        <v>38</v>
      </c>
      <c r="B33" s="19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4">
        <f t="shared" si="0"/>
        <v>50000</v>
      </c>
    </row>
    <row r="34" spans="1:14" x14ac:dyDescent="0.25">
      <c r="A34" s="72" t="s">
        <v>39</v>
      </c>
      <c r="B34" s="21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5">
        <f t="shared" si="0"/>
        <v>40000</v>
      </c>
    </row>
    <row r="35" spans="1:14" x14ac:dyDescent="0.25">
      <c r="A35" s="73" t="s">
        <v>40</v>
      </c>
      <c r="B35" s="19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74">
        <f t="shared" si="0"/>
        <v>25000</v>
      </c>
    </row>
    <row r="36" spans="1:14" x14ac:dyDescent="0.25">
      <c r="A36" s="72" t="s">
        <v>41</v>
      </c>
      <c r="B36" s="21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75">
        <f t="shared" si="0"/>
        <v>79920.12</v>
      </c>
    </row>
    <row r="37" spans="1:14" x14ac:dyDescent="0.25">
      <c r="A37" s="17" t="s">
        <v>138</v>
      </c>
      <c r="B37" s="24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5">
        <f t="shared" si="0"/>
        <v>100000</v>
      </c>
    </row>
    <row r="38" spans="1:14" x14ac:dyDescent="0.25">
      <c r="A38" s="17" t="s">
        <v>42</v>
      </c>
      <c r="B38" s="24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75">
        <f t="shared" si="0"/>
        <v>8000</v>
      </c>
    </row>
    <row r="39" spans="1:14" x14ac:dyDescent="0.25">
      <c r="A39" s="18" t="s">
        <v>43</v>
      </c>
      <c r="B39" s="23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4">
        <f t="shared" si="0"/>
        <v>500000</v>
      </c>
    </row>
    <row r="40" spans="1:14" x14ac:dyDescent="0.25">
      <c r="A40" s="17" t="s">
        <v>44</v>
      </c>
      <c r="B40" s="24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75">
        <f t="shared" si="0"/>
        <v>250000</v>
      </c>
    </row>
    <row r="41" spans="1:14" x14ac:dyDescent="0.25">
      <c r="A41" s="18" t="s">
        <v>139</v>
      </c>
      <c r="B41" s="23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74">
        <f t="shared" si="0"/>
        <v>110000</v>
      </c>
    </row>
    <row r="42" spans="1:14" x14ac:dyDescent="0.25">
      <c r="A42" s="17" t="s">
        <v>45</v>
      </c>
      <c r="B42" s="25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75">
        <f t="shared" si="0"/>
        <v>52000</v>
      </c>
    </row>
    <row r="43" spans="1:14" x14ac:dyDescent="0.25">
      <c r="A43" s="18" t="s">
        <v>46</v>
      </c>
      <c r="B43" s="26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74">
        <f t="shared" si="0"/>
        <v>150000</v>
      </c>
    </row>
    <row r="44" spans="1:14" x14ac:dyDescent="0.25">
      <c r="A44" s="17" t="s">
        <v>47</v>
      </c>
      <c r="B44" s="25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75">
        <f t="shared" si="0"/>
        <v>624000</v>
      </c>
    </row>
    <row r="45" spans="1:14" x14ac:dyDescent="0.25">
      <c r="A45" s="17" t="s">
        <v>48</v>
      </c>
      <c r="B45" s="25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75">
        <f t="shared" si="0"/>
        <v>80000</v>
      </c>
    </row>
    <row r="46" spans="1:14" x14ac:dyDescent="0.25">
      <c r="A46" s="18" t="s">
        <v>49</v>
      </c>
      <c r="B46" s="26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4">
        <f t="shared" si="0"/>
        <v>25000</v>
      </c>
    </row>
    <row r="47" spans="1:14" x14ac:dyDescent="0.25">
      <c r="A47" s="17" t="s">
        <v>50</v>
      </c>
      <c r="B47" s="25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75">
        <f t="shared" si="0"/>
        <v>5200</v>
      </c>
    </row>
    <row r="48" spans="1:14" x14ac:dyDescent="0.25">
      <c r="A48" s="18" t="s">
        <v>51</v>
      </c>
      <c r="B48" s="26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4">
        <f t="shared" si="0"/>
        <v>70000</v>
      </c>
    </row>
    <row r="49" spans="1:14" x14ac:dyDescent="0.25">
      <c r="A49" s="17" t="s">
        <v>52</v>
      </c>
      <c r="B49" s="25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75">
        <f t="shared" si="0"/>
        <v>15000</v>
      </c>
    </row>
    <row r="50" spans="1:14" x14ac:dyDescent="0.25">
      <c r="A50" s="18" t="s">
        <v>53</v>
      </c>
      <c r="B50" s="26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4">
        <f t="shared" si="0"/>
        <v>12000</v>
      </c>
    </row>
    <row r="51" spans="1:14" x14ac:dyDescent="0.25">
      <c r="A51" s="17" t="s">
        <v>54</v>
      </c>
      <c r="B51" s="25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75">
        <f t="shared" si="0"/>
        <v>6000</v>
      </c>
    </row>
    <row r="52" spans="1:14" x14ac:dyDescent="0.25">
      <c r="A52" s="18" t="s">
        <v>136</v>
      </c>
      <c r="B52" s="26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4">
        <f t="shared" si="0"/>
        <v>16000</v>
      </c>
    </row>
    <row r="53" spans="1:14" x14ac:dyDescent="0.25">
      <c r="A53" s="17" t="s">
        <v>55</v>
      </c>
      <c r="B53" s="25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75">
        <f t="shared" si="0"/>
        <v>30000</v>
      </c>
    </row>
    <row r="54" spans="1:14" x14ac:dyDescent="0.25">
      <c r="A54" s="18" t="s">
        <v>56</v>
      </c>
      <c r="B54" s="26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74">
        <f t="shared" si="0"/>
        <v>700000</v>
      </c>
    </row>
    <row r="55" spans="1:14" x14ac:dyDescent="0.25">
      <c r="A55" s="17" t="s">
        <v>57</v>
      </c>
      <c r="B55" s="25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75">
        <f t="shared" si="0"/>
        <v>20000</v>
      </c>
    </row>
    <row r="56" spans="1:14" x14ac:dyDescent="0.25">
      <c r="A56" s="18" t="s">
        <v>58</v>
      </c>
      <c r="B56" s="26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74">
        <f t="shared" si="0"/>
        <v>60000</v>
      </c>
    </row>
    <row r="57" spans="1:14" x14ac:dyDescent="0.25">
      <c r="A57" s="17" t="s">
        <v>59</v>
      </c>
      <c r="B57" s="25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75">
        <f t="shared" si="0"/>
        <v>680000</v>
      </c>
    </row>
    <row r="58" spans="1:14" x14ac:dyDescent="0.25">
      <c r="A58" s="18" t="s">
        <v>60</v>
      </c>
      <c r="B58" s="26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74">
        <f t="shared" si="0"/>
        <v>185000</v>
      </c>
    </row>
    <row r="59" spans="1:14" x14ac:dyDescent="0.25">
      <c r="A59" s="17" t="s">
        <v>61</v>
      </c>
      <c r="B59" s="25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75">
        <f t="shared" si="0"/>
        <v>100000</v>
      </c>
    </row>
    <row r="60" spans="1:14" x14ac:dyDescent="0.25">
      <c r="A60" s="18" t="s">
        <v>62</v>
      </c>
      <c r="B60" s="26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74">
        <f t="shared" si="0"/>
        <v>130000</v>
      </c>
    </row>
    <row r="61" spans="1:14" x14ac:dyDescent="0.25">
      <c r="A61" s="17" t="s">
        <v>63</v>
      </c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75">
        <f t="shared" si="0"/>
        <v>35600</v>
      </c>
    </row>
    <row r="62" spans="1:14" x14ac:dyDescent="0.25">
      <c r="A62" s="17" t="s">
        <v>64</v>
      </c>
      <c r="B62" s="2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75">
        <f t="shared" si="0"/>
        <v>15000</v>
      </c>
    </row>
    <row r="63" spans="1:14" x14ac:dyDescent="0.25">
      <c r="A63" s="17" t="s">
        <v>140</v>
      </c>
      <c r="B63" s="25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75">
        <f t="shared" si="0"/>
        <v>590000</v>
      </c>
    </row>
    <row r="64" spans="1:14" ht="13.8" thickBot="1" x14ac:dyDescent="0.3">
      <c r="A64" s="37" t="s">
        <v>66</v>
      </c>
      <c r="B64" s="30"/>
      <c r="C64" s="31"/>
      <c r="D64" s="32">
        <v>100000</v>
      </c>
      <c r="E64" s="31"/>
      <c r="F64" s="31"/>
      <c r="G64" s="31"/>
      <c r="H64" s="31"/>
      <c r="I64" s="31"/>
      <c r="J64" s="32">
        <v>100000</v>
      </c>
      <c r="K64" s="31"/>
      <c r="L64" s="31"/>
      <c r="M64" s="32">
        <f>50000+25000+8000+8000+9000+10000+10000</f>
        <v>120000</v>
      </c>
      <c r="N64" s="76">
        <f t="shared" si="0"/>
        <v>320000</v>
      </c>
    </row>
    <row r="65" spans="1:14" ht="13.8" thickBot="1" x14ac:dyDescent="0.3">
      <c r="A65" s="38" t="s">
        <v>13</v>
      </c>
      <c r="B65" s="34">
        <f t="shared" ref="B65:M65" si="1">SUM(B7:B64)</f>
        <v>4026900</v>
      </c>
      <c r="C65" s="35">
        <f t="shared" si="1"/>
        <v>2157192.8199999998</v>
      </c>
      <c r="D65" s="35">
        <f t="shared" si="1"/>
        <v>1355110</v>
      </c>
      <c r="E65" s="35">
        <f t="shared" si="1"/>
        <v>2301505</v>
      </c>
      <c r="F65" s="35">
        <f t="shared" si="1"/>
        <v>1764776.6</v>
      </c>
      <c r="G65" s="35">
        <f t="shared" si="1"/>
        <v>1537492.35</v>
      </c>
      <c r="H65" s="35">
        <f t="shared" si="1"/>
        <v>649286.6</v>
      </c>
      <c r="I65" s="35">
        <f t="shared" si="1"/>
        <v>935869.97</v>
      </c>
      <c r="J65" s="35">
        <f t="shared" si="1"/>
        <v>1133620</v>
      </c>
      <c r="K65" s="35">
        <f t="shared" si="1"/>
        <v>572329.72</v>
      </c>
      <c r="L65" s="35">
        <f t="shared" si="1"/>
        <v>819653</v>
      </c>
      <c r="M65" s="35">
        <f t="shared" si="1"/>
        <v>2441659.59</v>
      </c>
      <c r="N65" s="77">
        <f>SUM(B65:M65)</f>
        <v>19695395.650000002</v>
      </c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topLeftCell="A16" workbookViewId="0">
      <selection activeCell="N34" sqref="N34"/>
    </sheetView>
  </sheetViews>
  <sheetFormatPr defaultRowHeight="13.2" x14ac:dyDescent="0.25"/>
  <cols>
    <col min="1" max="1" width="37.44140625" customWidth="1"/>
    <col min="2" max="2" width="0.109375" hidden="1" customWidth="1"/>
    <col min="3" max="3" width="7.5546875" customWidth="1"/>
    <col min="4" max="4" width="9.5546875" customWidth="1"/>
    <col min="6" max="6" width="9" customWidth="1"/>
    <col min="7" max="9" width="8.5546875" customWidth="1"/>
    <col min="10" max="10" width="8.88671875" customWidth="1"/>
    <col min="11" max="11" width="8.44140625" customWidth="1"/>
    <col min="12" max="12" width="8.5546875" customWidth="1"/>
    <col min="13" max="13" width="9.88671875" customWidth="1"/>
    <col min="14" max="14" width="9.5546875" customWidth="1"/>
  </cols>
  <sheetData>
    <row r="1" spans="1:14" ht="15.6" x14ac:dyDescent="0.3">
      <c r="B1" s="1" t="s">
        <v>67</v>
      </c>
      <c r="C1" s="1" t="s">
        <v>193</v>
      </c>
    </row>
    <row r="3" spans="1:14" ht="13.8" thickBot="1" x14ac:dyDescent="0.3"/>
    <row r="4" spans="1:14" ht="13.8" thickBot="1" x14ac:dyDescent="0.3">
      <c r="B4" s="43" t="s">
        <v>0</v>
      </c>
      <c r="C4" s="27" t="s">
        <v>7</v>
      </c>
      <c r="D4" s="28" t="s">
        <v>1</v>
      </c>
      <c r="E4" s="28" t="s">
        <v>2</v>
      </c>
      <c r="F4" s="28" t="s">
        <v>3</v>
      </c>
      <c r="G4" s="28" t="s">
        <v>134</v>
      </c>
      <c r="H4" s="28" t="s">
        <v>4</v>
      </c>
      <c r="I4" s="28" t="s">
        <v>9</v>
      </c>
      <c r="J4" s="28" t="s">
        <v>5</v>
      </c>
      <c r="K4" s="28" t="s">
        <v>6</v>
      </c>
      <c r="L4" s="28" t="s">
        <v>10</v>
      </c>
      <c r="M4" s="28" t="s">
        <v>11</v>
      </c>
      <c r="N4" s="29" t="s">
        <v>13</v>
      </c>
    </row>
    <row r="5" spans="1:14" x14ac:dyDescent="0.25">
      <c r="A5" s="16" t="s">
        <v>68</v>
      </c>
      <c r="C5" s="19">
        <v>450000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20">
        <f>SUM(C5:M5)</f>
        <v>450000</v>
      </c>
    </row>
    <row r="6" spans="1:14" x14ac:dyDescent="0.25">
      <c r="A6" s="58" t="s">
        <v>69</v>
      </c>
      <c r="B6" s="52"/>
      <c r="C6" s="40"/>
      <c r="D6" s="45">
        <v>1636470</v>
      </c>
      <c r="E6" s="53"/>
      <c r="F6" s="53"/>
      <c r="G6" s="53"/>
      <c r="H6" s="53"/>
      <c r="I6" s="53"/>
      <c r="J6" s="53"/>
      <c r="K6" s="53"/>
      <c r="L6" s="53"/>
      <c r="M6" s="53"/>
      <c r="N6" s="22">
        <f t="shared" ref="N6:N67" si="0">SUM(C6:M6)</f>
        <v>1636470</v>
      </c>
    </row>
    <row r="7" spans="1:14" x14ac:dyDescent="0.25">
      <c r="A7" s="18" t="s">
        <v>70</v>
      </c>
      <c r="C7" s="39"/>
      <c r="D7" s="44"/>
      <c r="E7" s="67">
        <v>3750000</v>
      </c>
      <c r="F7" s="44"/>
      <c r="G7" s="44"/>
      <c r="H7" s="44"/>
      <c r="I7" s="44"/>
      <c r="J7" s="44"/>
      <c r="K7" s="44"/>
      <c r="L7" s="44"/>
      <c r="M7" s="44"/>
      <c r="N7" s="20">
        <f t="shared" si="0"/>
        <v>3750000</v>
      </c>
    </row>
    <row r="8" spans="1:14" x14ac:dyDescent="0.25">
      <c r="A8" s="17" t="s">
        <v>71</v>
      </c>
      <c r="B8" s="52"/>
      <c r="C8" s="40"/>
      <c r="D8" s="53"/>
      <c r="E8" s="53"/>
      <c r="F8" s="68">
        <v>1190000</v>
      </c>
      <c r="G8" s="53"/>
      <c r="H8" s="53"/>
      <c r="I8" s="53"/>
      <c r="J8" s="53"/>
      <c r="K8" s="53"/>
      <c r="L8" s="53"/>
      <c r="M8" s="53"/>
      <c r="N8" s="22">
        <f t="shared" si="0"/>
        <v>1190000</v>
      </c>
    </row>
    <row r="9" spans="1:14" x14ac:dyDescent="0.25">
      <c r="A9" s="18" t="s">
        <v>72</v>
      </c>
      <c r="C9" s="39"/>
      <c r="D9" s="44"/>
      <c r="E9" s="44"/>
      <c r="F9" s="44"/>
      <c r="G9" s="6">
        <v>58536.57</v>
      </c>
      <c r="H9" s="44"/>
      <c r="I9" s="44"/>
      <c r="J9" s="44"/>
      <c r="K9" s="44"/>
      <c r="L9" s="44"/>
      <c r="M9" s="44"/>
      <c r="N9" s="20">
        <f t="shared" si="0"/>
        <v>58536.57</v>
      </c>
    </row>
    <row r="10" spans="1:14" x14ac:dyDescent="0.25">
      <c r="A10" s="59" t="s">
        <v>73</v>
      </c>
      <c r="B10" s="52"/>
      <c r="C10" s="40"/>
      <c r="D10" s="53"/>
      <c r="E10" s="53"/>
      <c r="F10" s="53"/>
      <c r="G10" s="14">
        <v>40650.400000000001</v>
      </c>
      <c r="H10" s="53"/>
      <c r="I10" s="53"/>
      <c r="J10" s="53"/>
      <c r="K10" s="53"/>
      <c r="L10" s="53"/>
      <c r="M10" s="53"/>
      <c r="N10" s="22">
        <f t="shared" si="0"/>
        <v>40650.400000000001</v>
      </c>
    </row>
    <row r="11" spans="1:14" x14ac:dyDescent="0.25">
      <c r="A11" s="18" t="s">
        <v>74</v>
      </c>
      <c r="C11" s="39"/>
      <c r="D11" s="44"/>
      <c r="E11" s="44"/>
      <c r="F11" s="44"/>
      <c r="G11" s="6">
        <v>27642.27</v>
      </c>
      <c r="H11" s="44"/>
      <c r="I11" s="44"/>
      <c r="J11" s="44"/>
      <c r="K11" s="44"/>
      <c r="L11" s="44"/>
      <c r="M11" s="44"/>
      <c r="N11" s="20">
        <f t="shared" si="0"/>
        <v>27642.27</v>
      </c>
    </row>
    <row r="12" spans="1:14" x14ac:dyDescent="0.25">
      <c r="A12" s="17" t="s">
        <v>75</v>
      </c>
      <c r="B12" s="52"/>
      <c r="C12" s="40"/>
      <c r="D12" s="53"/>
      <c r="E12" s="53"/>
      <c r="F12" s="53"/>
      <c r="G12" s="14">
        <v>60975.6</v>
      </c>
      <c r="H12" s="53"/>
      <c r="I12" s="53"/>
      <c r="J12" s="53"/>
      <c r="K12" s="53"/>
      <c r="L12" s="53"/>
      <c r="M12" s="53"/>
      <c r="N12" s="22">
        <f t="shared" si="0"/>
        <v>60975.6</v>
      </c>
    </row>
    <row r="13" spans="1:14" x14ac:dyDescent="0.25">
      <c r="A13" s="18" t="s">
        <v>76</v>
      </c>
      <c r="C13" s="39"/>
      <c r="D13" s="44"/>
      <c r="E13" s="44"/>
      <c r="F13" s="44"/>
      <c r="G13" s="6">
        <v>1185825.83</v>
      </c>
      <c r="H13" s="44"/>
      <c r="I13" s="44"/>
      <c r="J13" s="44"/>
      <c r="K13" s="44"/>
      <c r="L13" s="44"/>
      <c r="M13" s="44"/>
      <c r="N13" s="20">
        <f t="shared" si="0"/>
        <v>1185825.83</v>
      </c>
    </row>
    <row r="14" spans="1:14" x14ac:dyDescent="0.25">
      <c r="A14" s="17" t="s">
        <v>77</v>
      </c>
      <c r="B14" s="52"/>
      <c r="C14" s="40"/>
      <c r="D14" s="53"/>
      <c r="E14" s="53"/>
      <c r="F14" s="53"/>
      <c r="G14" s="14">
        <v>8130.08</v>
      </c>
      <c r="H14" s="53"/>
      <c r="I14" s="53"/>
      <c r="J14" s="53"/>
      <c r="K14" s="53"/>
      <c r="L14" s="53"/>
      <c r="M14" s="53"/>
      <c r="N14" s="22">
        <f t="shared" si="0"/>
        <v>8130.08</v>
      </c>
    </row>
    <row r="15" spans="1:14" x14ac:dyDescent="0.25">
      <c r="A15" s="18" t="s">
        <v>78</v>
      </c>
      <c r="C15" s="39"/>
      <c r="D15" s="44"/>
      <c r="E15" s="44"/>
      <c r="F15" s="44"/>
      <c r="G15" s="6">
        <v>24390.240000000002</v>
      </c>
      <c r="H15" s="44"/>
      <c r="I15" s="44"/>
      <c r="J15" s="44"/>
      <c r="K15" s="44"/>
      <c r="L15" s="44"/>
      <c r="M15" s="44"/>
      <c r="N15" s="20">
        <f t="shared" si="0"/>
        <v>24390.240000000002</v>
      </c>
    </row>
    <row r="16" spans="1:14" x14ac:dyDescent="0.25">
      <c r="A16" s="17" t="s">
        <v>79</v>
      </c>
      <c r="B16" s="52"/>
      <c r="C16" s="40"/>
      <c r="D16" s="53"/>
      <c r="E16" s="53"/>
      <c r="F16" s="53"/>
      <c r="G16" s="14">
        <v>81300.800000000003</v>
      </c>
      <c r="H16" s="53"/>
      <c r="I16" s="53"/>
      <c r="J16" s="53"/>
      <c r="K16" s="53"/>
      <c r="L16" s="53"/>
      <c r="M16" s="53"/>
      <c r="N16" s="22">
        <f t="shared" si="0"/>
        <v>81300.800000000003</v>
      </c>
    </row>
    <row r="17" spans="1:14" x14ac:dyDescent="0.25">
      <c r="A17" s="18" t="s">
        <v>80</v>
      </c>
      <c r="C17" s="39"/>
      <c r="D17" s="44"/>
      <c r="E17" s="44"/>
      <c r="F17" s="44"/>
      <c r="G17" s="6">
        <v>81300.800000000003</v>
      </c>
      <c r="H17" s="44"/>
      <c r="I17" s="44"/>
      <c r="J17" s="44"/>
      <c r="K17" s="44"/>
      <c r="L17" s="44"/>
      <c r="M17" s="44"/>
      <c r="N17" s="20">
        <f t="shared" si="0"/>
        <v>81300.800000000003</v>
      </c>
    </row>
    <row r="18" spans="1:14" x14ac:dyDescent="0.25">
      <c r="A18" s="17" t="s">
        <v>81</v>
      </c>
      <c r="B18" s="52"/>
      <c r="C18" s="40"/>
      <c r="D18" s="53"/>
      <c r="E18" s="53"/>
      <c r="F18" s="53"/>
      <c r="G18" s="14">
        <v>81300.800000000003</v>
      </c>
      <c r="H18" s="53"/>
      <c r="I18" s="53"/>
      <c r="J18" s="53"/>
      <c r="K18" s="53"/>
      <c r="L18" s="53"/>
      <c r="M18" s="53"/>
      <c r="N18" s="22">
        <f t="shared" si="0"/>
        <v>81300.800000000003</v>
      </c>
    </row>
    <row r="19" spans="1:14" x14ac:dyDescent="0.25">
      <c r="A19" s="18" t="s">
        <v>82</v>
      </c>
      <c r="C19" s="39"/>
      <c r="D19" s="44"/>
      <c r="E19" s="44"/>
      <c r="F19" s="44"/>
      <c r="G19" s="6">
        <v>48780.480000000003</v>
      </c>
      <c r="H19" s="44"/>
      <c r="I19" s="44"/>
      <c r="J19" s="44"/>
      <c r="K19" s="44"/>
      <c r="L19" s="44"/>
      <c r="M19" s="44"/>
      <c r="N19" s="20">
        <f t="shared" si="0"/>
        <v>48780.480000000003</v>
      </c>
    </row>
    <row r="20" spans="1:14" x14ac:dyDescent="0.25">
      <c r="A20" s="17" t="s">
        <v>83</v>
      </c>
      <c r="B20" s="52"/>
      <c r="C20" s="40"/>
      <c r="D20" s="53"/>
      <c r="E20" s="53"/>
      <c r="F20" s="53"/>
      <c r="G20" s="14">
        <v>154471.51999999999</v>
      </c>
      <c r="H20" s="53"/>
      <c r="I20" s="53"/>
      <c r="J20" s="53"/>
      <c r="K20" s="53"/>
      <c r="L20" s="53"/>
      <c r="M20" s="53"/>
      <c r="N20" s="22">
        <f t="shared" si="0"/>
        <v>154471.51999999999</v>
      </c>
    </row>
    <row r="21" spans="1:14" x14ac:dyDescent="0.25">
      <c r="A21" s="18" t="s">
        <v>84</v>
      </c>
      <c r="C21" s="39"/>
      <c r="D21" s="44"/>
      <c r="E21" s="44"/>
      <c r="F21" s="44"/>
      <c r="G21" s="6">
        <v>16260.16</v>
      </c>
      <c r="H21" s="44"/>
      <c r="I21" s="44"/>
      <c r="J21" s="44"/>
      <c r="K21" s="44"/>
      <c r="L21" s="44"/>
      <c r="M21" s="44"/>
      <c r="N21" s="20">
        <f t="shared" si="0"/>
        <v>16260.16</v>
      </c>
    </row>
    <row r="22" spans="1:14" x14ac:dyDescent="0.25">
      <c r="A22" s="17" t="s">
        <v>85</v>
      </c>
      <c r="B22" s="52"/>
      <c r="C22" s="40"/>
      <c r="D22" s="53"/>
      <c r="E22" s="53"/>
      <c r="F22" s="53"/>
      <c r="G22" s="14">
        <v>4065.04</v>
      </c>
      <c r="H22" s="53"/>
      <c r="I22" s="53"/>
      <c r="J22" s="53"/>
      <c r="K22" s="53"/>
      <c r="L22" s="53"/>
      <c r="M22" s="53"/>
      <c r="N22" s="22">
        <f t="shared" si="0"/>
        <v>4065.04</v>
      </c>
    </row>
    <row r="23" spans="1:14" x14ac:dyDescent="0.25">
      <c r="A23" s="18" t="s">
        <v>86</v>
      </c>
      <c r="C23" s="39"/>
      <c r="D23" s="44"/>
      <c r="E23" s="44"/>
      <c r="F23" s="44"/>
      <c r="G23" s="6">
        <v>1219.51</v>
      </c>
      <c r="H23" s="44"/>
      <c r="I23" s="44"/>
      <c r="J23" s="44"/>
      <c r="K23" s="44"/>
      <c r="L23" s="44"/>
      <c r="M23" s="44"/>
      <c r="N23" s="20">
        <f t="shared" si="0"/>
        <v>1219.51</v>
      </c>
    </row>
    <row r="24" spans="1:14" x14ac:dyDescent="0.25">
      <c r="A24" s="17" t="s">
        <v>132</v>
      </c>
      <c r="B24" s="52"/>
      <c r="C24" s="40"/>
      <c r="D24" s="53"/>
      <c r="E24" s="53"/>
      <c r="F24" s="53"/>
      <c r="G24" s="14">
        <v>8130.08</v>
      </c>
      <c r="H24" s="53"/>
      <c r="I24" s="53"/>
      <c r="J24" s="53"/>
      <c r="K24" s="53"/>
      <c r="L24" s="53"/>
      <c r="M24" s="53"/>
      <c r="N24" s="22">
        <f t="shared" si="0"/>
        <v>8130.08</v>
      </c>
    </row>
    <row r="25" spans="1:14" x14ac:dyDescent="0.25">
      <c r="A25" s="18" t="s">
        <v>87</v>
      </c>
      <c r="C25" s="39"/>
      <c r="D25" s="44"/>
      <c r="E25" s="44"/>
      <c r="F25" s="44"/>
      <c r="G25" s="6">
        <v>16260.16</v>
      </c>
      <c r="H25" s="44"/>
      <c r="I25" s="44"/>
      <c r="J25" s="44"/>
      <c r="K25" s="44"/>
      <c r="L25" s="44"/>
      <c r="M25" s="44"/>
      <c r="N25" s="20">
        <f t="shared" si="0"/>
        <v>16260.16</v>
      </c>
    </row>
    <row r="26" spans="1:14" x14ac:dyDescent="0.25">
      <c r="A26" s="17" t="s">
        <v>88</v>
      </c>
      <c r="B26" s="52"/>
      <c r="C26" s="40"/>
      <c r="D26" s="53"/>
      <c r="E26" s="53"/>
      <c r="F26" s="53"/>
      <c r="G26" s="14">
        <v>195121.92000000001</v>
      </c>
      <c r="H26" s="53"/>
      <c r="I26" s="53"/>
      <c r="J26" s="53"/>
      <c r="K26" s="53"/>
      <c r="L26" s="53"/>
      <c r="M26" s="53"/>
      <c r="N26" s="22">
        <f t="shared" si="0"/>
        <v>195121.92000000001</v>
      </c>
    </row>
    <row r="27" spans="1:14" x14ac:dyDescent="0.25">
      <c r="A27" s="18" t="s">
        <v>89</v>
      </c>
      <c r="C27" s="39"/>
      <c r="D27" s="44"/>
      <c r="E27" s="44"/>
      <c r="F27" s="44"/>
      <c r="G27" s="6">
        <v>16260.16</v>
      </c>
      <c r="H27" s="44"/>
      <c r="I27" s="44"/>
      <c r="J27" s="44"/>
      <c r="K27" s="44"/>
      <c r="L27" s="44"/>
      <c r="M27" s="44"/>
      <c r="N27" s="20">
        <f t="shared" si="0"/>
        <v>16260.16</v>
      </c>
    </row>
    <row r="28" spans="1:14" x14ac:dyDescent="0.25">
      <c r="A28" s="17" t="s">
        <v>90</v>
      </c>
      <c r="B28" s="52"/>
      <c r="C28" s="40"/>
      <c r="D28" s="53"/>
      <c r="E28" s="53"/>
      <c r="F28" s="53"/>
      <c r="G28" s="14">
        <v>20325.2</v>
      </c>
      <c r="H28" s="53"/>
      <c r="I28" s="53"/>
      <c r="J28" s="53"/>
      <c r="K28" s="53"/>
      <c r="L28" s="53"/>
      <c r="M28" s="53"/>
      <c r="N28" s="22">
        <f t="shared" si="0"/>
        <v>20325.2</v>
      </c>
    </row>
    <row r="29" spans="1:14" x14ac:dyDescent="0.25">
      <c r="A29" s="18" t="s">
        <v>135</v>
      </c>
      <c r="C29" s="39"/>
      <c r="D29" s="44"/>
      <c r="E29" s="44"/>
      <c r="F29" s="44"/>
      <c r="G29" s="6">
        <v>32520.32</v>
      </c>
      <c r="H29" s="44"/>
      <c r="I29" s="44"/>
      <c r="J29" s="44"/>
      <c r="K29" s="44"/>
      <c r="L29" s="44"/>
      <c r="M29" s="44"/>
      <c r="N29" s="20">
        <f t="shared" si="0"/>
        <v>32520.32</v>
      </c>
    </row>
    <row r="30" spans="1:14" x14ac:dyDescent="0.25">
      <c r="A30" s="58" t="s">
        <v>91</v>
      </c>
      <c r="B30" s="52"/>
      <c r="C30" s="40"/>
      <c r="D30" s="53"/>
      <c r="E30" s="53"/>
      <c r="F30" s="53"/>
      <c r="G30" s="53"/>
      <c r="H30" s="45">
        <v>200000</v>
      </c>
      <c r="I30" s="53"/>
      <c r="J30" s="53"/>
      <c r="K30" s="53"/>
      <c r="L30" s="53"/>
      <c r="M30" s="53"/>
      <c r="N30" s="22">
        <f t="shared" si="0"/>
        <v>200000</v>
      </c>
    </row>
    <row r="31" spans="1:14" x14ac:dyDescent="0.25">
      <c r="A31" s="18" t="s">
        <v>92</v>
      </c>
      <c r="C31" s="39"/>
      <c r="D31" s="44"/>
      <c r="E31" s="44"/>
      <c r="F31" s="44"/>
      <c r="G31" s="44"/>
      <c r="H31" s="54">
        <v>269565.44</v>
      </c>
      <c r="I31" s="44"/>
      <c r="J31" s="44"/>
      <c r="K31" s="44"/>
      <c r="L31" s="44"/>
      <c r="M31" s="44"/>
      <c r="N31" s="20">
        <f t="shared" si="0"/>
        <v>269565.44</v>
      </c>
    </row>
    <row r="32" spans="1:14" x14ac:dyDescent="0.25">
      <c r="A32" s="17" t="s">
        <v>93</v>
      </c>
      <c r="B32" s="52"/>
      <c r="C32" s="40"/>
      <c r="D32" s="53"/>
      <c r="E32" s="53"/>
      <c r="F32" s="53"/>
      <c r="G32" s="53"/>
      <c r="H32" s="46">
        <v>112270.52</v>
      </c>
      <c r="I32" s="53"/>
      <c r="J32" s="53"/>
      <c r="K32" s="53"/>
      <c r="L32" s="53"/>
      <c r="M32" s="53"/>
      <c r="N32" s="22">
        <f t="shared" si="0"/>
        <v>112270.52</v>
      </c>
    </row>
    <row r="33" spans="1:14" x14ac:dyDescent="0.25">
      <c r="A33" s="18" t="s">
        <v>94</v>
      </c>
      <c r="C33" s="39"/>
      <c r="D33" s="44"/>
      <c r="E33" s="44"/>
      <c r="F33" s="44"/>
      <c r="G33" s="44"/>
      <c r="H33" s="54">
        <v>194621.6</v>
      </c>
      <c r="I33" s="44"/>
      <c r="J33" s="44"/>
      <c r="K33" s="44"/>
      <c r="L33" s="44"/>
      <c r="M33" s="44"/>
      <c r="N33" s="20">
        <f t="shared" si="0"/>
        <v>194621.6</v>
      </c>
    </row>
    <row r="34" spans="1:14" x14ac:dyDescent="0.25">
      <c r="A34" s="37" t="s">
        <v>36</v>
      </c>
      <c r="B34" s="63"/>
      <c r="C34" s="41"/>
      <c r="D34" s="64"/>
      <c r="E34" s="64"/>
      <c r="F34" s="64"/>
      <c r="G34" s="64"/>
      <c r="H34" s="47">
        <v>127665.96</v>
      </c>
      <c r="I34" s="64"/>
      <c r="J34" s="64"/>
      <c r="K34" s="64"/>
      <c r="L34" s="64"/>
      <c r="M34" s="64"/>
      <c r="N34" s="33">
        <f t="shared" si="0"/>
        <v>127665.96</v>
      </c>
    </row>
    <row r="35" spans="1:14" x14ac:dyDescent="0.25">
      <c r="A35" s="17" t="s">
        <v>65</v>
      </c>
      <c r="B35" s="52"/>
      <c r="C35" s="40"/>
      <c r="D35" s="53"/>
      <c r="E35" s="53"/>
      <c r="F35" s="53"/>
      <c r="G35" s="53"/>
      <c r="H35" s="46">
        <v>100000</v>
      </c>
      <c r="I35" s="53"/>
      <c r="J35" s="53"/>
      <c r="K35" s="53"/>
      <c r="L35" s="53"/>
      <c r="M35" s="53"/>
      <c r="N35" s="22">
        <f t="shared" si="0"/>
        <v>100000</v>
      </c>
    </row>
    <row r="36" spans="1:14" x14ac:dyDescent="0.25">
      <c r="A36" s="58" t="s">
        <v>95</v>
      </c>
      <c r="B36" s="52"/>
      <c r="C36" s="40"/>
      <c r="D36" s="53"/>
      <c r="E36" s="53"/>
      <c r="F36" s="53"/>
      <c r="G36" s="53"/>
      <c r="H36" s="53"/>
      <c r="I36" s="49">
        <v>327774.24</v>
      </c>
      <c r="J36" s="53"/>
      <c r="K36" s="53"/>
      <c r="L36" s="53"/>
      <c r="M36" s="53"/>
      <c r="N36" s="22">
        <f t="shared" si="0"/>
        <v>327774.24</v>
      </c>
    </row>
    <row r="37" spans="1:14" x14ac:dyDescent="0.25">
      <c r="A37" s="58" t="s">
        <v>96</v>
      </c>
      <c r="B37" s="52"/>
      <c r="C37" s="40"/>
      <c r="D37" s="53"/>
      <c r="E37" s="53"/>
      <c r="F37" s="53"/>
      <c r="G37" s="53"/>
      <c r="H37" s="53"/>
      <c r="I37" s="49">
        <v>26578.5</v>
      </c>
      <c r="J37" s="53"/>
      <c r="K37" s="53"/>
      <c r="L37" s="53"/>
      <c r="M37" s="53"/>
      <c r="N37" s="22">
        <f t="shared" si="0"/>
        <v>26578.5</v>
      </c>
    </row>
    <row r="38" spans="1:14" x14ac:dyDescent="0.25">
      <c r="A38" s="58" t="s">
        <v>97</v>
      </c>
      <c r="B38" s="52"/>
      <c r="C38" s="40"/>
      <c r="D38" s="53"/>
      <c r="E38" s="53"/>
      <c r="F38" s="53"/>
      <c r="G38" s="53"/>
      <c r="H38" s="53"/>
      <c r="I38" s="49">
        <v>138371.76</v>
      </c>
      <c r="J38" s="53"/>
      <c r="K38" s="53"/>
      <c r="L38" s="53"/>
      <c r="M38" s="53"/>
      <c r="N38" s="22">
        <f t="shared" si="0"/>
        <v>138371.76</v>
      </c>
    </row>
    <row r="39" spans="1:14" x14ac:dyDescent="0.25">
      <c r="A39" s="60" t="s">
        <v>98</v>
      </c>
      <c r="C39" s="39"/>
      <c r="D39" s="44"/>
      <c r="E39" s="44"/>
      <c r="F39" s="44"/>
      <c r="G39" s="44"/>
      <c r="H39" s="44"/>
      <c r="I39" s="48">
        <v>30503.94</v>
      </c>
      <c r="J39" s="44"/>
      <c r="K39" s="44"/>
      <c r="L39" s="44"/>
      <c r="M39" s="44"/>
      <c r="N39" s="20">
        <f t="shared" si="0"/>
        <v>30503.94</v>
      </c>
    </row>
    <row r="40" spans="1:14" x14ac:dyDescent="0.25">
      <c r="A40" s="58" t="s">
        <v>99</v>
      </c>
      <c r="B40" s="52"/>
      <c r="C40" s="40"/>
      <c r="D40" s="53"/>
      <c r="E40" s="53"/>
      <c r="F40" s="53"/>
      <c r="G40" s="53"/>
      <c r="H40" s="53"/>
      <c r="I40" s="49">
        <v>51030.720000000001</v>
      </c>
      <c r="J40" s="53"/>
      <c r="K40" s="53"/>
      <c r="L40" s="53"/>
      <c r="M40" s="53"/>
      <c r="N40" s="22">
        <f t="shared" si="0"/>
        <v>51030.720000000001</v>
      </c>
    </row>
    <row r="41" spans="1:14" x14ac:dyDescent="0.25">
      <c r="A41" s="60" t="s">
        <v>100</v>
      </c>
      <c r="C41" s="39"/>
      <c r="D41" s="44"/>
      <c r="E41" s="44"/>
      <c r="F41" s="44"/>
      <c r="G41" s="44"/>
      <c r="H41" s="44"/>
      <c r="I41" s="48">
        <v>68776.98</v>
      </c>
      <c r="J41" s="44"/>
      <c r="K41" s="44"/>
      <c r="L41" s="44"/>
      <c r="M41" s="44"/>
      <c r="N41" s="20">
        <f t="shared" si="0"/>
        <v>68776.98</v>
      </c>
    </row>
    <row r="42" spans="1:14" x14ac:dyDescent="0.25">
      <c r="A42" s="58" t="s">
        <v>101</v>
      </c>
      <c r="B42" s="52"/>
      <c r="C42" s="40"/>
      <c r="D42" s="53"/>
      <c r="E42" s="53"/>
      <c r="F42" s="53"/>
      <c r="G42" s="53"/>
      <c r="H42" s="53"/>
      <c r="I42" s="49">
        <v>33448.019999999997</v>
      </c>
      <c r="J42" s="53"/>
      <c r="K42" s="53"/>
      <c r="L42" s="53"/>
      <c r="M42" s="53"/>
      <c r="N42" s="22">
        <f t="shared" si="0"/>
        <v>33448.019999999997</v>
      </c>
    </row>
    <row r="43" spans="1:14" x14ac:dyDescent="0.25">
      <c r="A43" s="60" t="s">
        <v>133</v>
      </c>
      <c r="C43" s="39"/>
      <c r="D43" s="44"/>
      <c r="E43" s="44"/>
      <c r="F43" s="44"/>
      <c r="G43" s="44"/>
      <c r="H43" s="44"/>
      <c r="I43" s="48">
        <v>168793.92</v>
      </c>
      <c r="J43" s="44"/>
      <c r="K43" s="44"/>
      <c r="L43" s="44"/>
      <c r="M43" s="44"/>
      <c r="N43" s="20">
        <f t="shared" si="0"/>
        <v>168793.92</v>
      </c>
    </row>
    <row r="44" spans="1:14" x14ac:dyDescent="0.25">
      <c r="A44" s="58" t="s">
        <v>65</v>
      </c>
      <c r="B44" s="52"/>
      <c r="C44" s="40"/>
      <c r="D44" s="53"/>
      <c r="E44" s="53"/>
      <c r="F44" s="53"/>
      <c r="G44" s="53"/>
      <c r="H44" s="53"/>
      <c r="I44" s="49">
        <v>480000</v>
      </c>
      <c r="J44" s="53"/>
      <c r="K44" s="53"/>
      <c r="L44" s="53"/>
      <c r="M44" s="53"/>
      <c r="N44" s="22">
        <f t="shared" si="0"/>
        <v>480000</v>
      </c>
    </row>
    <row r="45" spans="1:14" x14ac:dyDescent="0.25">
      <c r="A45" s="60" t="s">
        <v>102</v>
      </c>
      <c r="C45" s="39"/>
      <c r="D45" s="44"/>
      <c r="E45" s="44"/>
      <c r="F45" s="44"/>
      <c r="G45" s="44"/>
      <c r="H45" s="44"/>
      <c r="I45" s="44"/>
      <c r="J45" s="69">
        <v>1205000</v>
      </c>
      <c r="K45" s="44"/>
      <c r="L45" s="44"/>
      <c r="M45" s="44"/>
      <c r="N45" s="20">
        <f t="shared" si="0"/>
        <v>1205000</v>
      </c>
    </row>
    <row r="46" spans="1:14" x14ac:dyDescent="0.25">
      <c r="A46" s="17" t="s">
        <v>103</v>
      </c>
      <c r="B46" s="52"/>
      <c r="C46" s="40"/>
      <c r="D46" s="53"/>
      <c r="E46" s="53"/>
      <c r="F46" s="53"/>
      <c r="G46" s="53"/>
      <c r="H46" s="53"/>
      <c r="I46" s="53"/>
      <c r="J46" s="46">
        <v>243902.4</v>
      </c>
      <c r="K46" s="53"/>
      <c r="L46" s="53"/>
      <c r="M46" s="53"/>
      <c r="N46" s="22">
        <f t="shared" si="0"/>
        <v>243902.4</v>
      </c>
    </row>
    <row r="47" spans="1:14" x14ac:dyDescent="0.25">
      <c r="A47" s="18" t="s">
        <v>104</v>
      </c>
      <c r="C47" s="39"/>
      <c r="D47" s="44"/>
      <c r="E47" s="44"/>
      <c r="F47" s="44"/>
      <c r="G47" s="44"/>
      <c r="H47" s="44"/>
      <c r="I47" s="44"/>
      <c r="J47" s="54">
        <v>56910.559999999998</v>
      </c>
      <c r="K47" s="44"/>
      <c r="L47" s="44"/>
      <c r="M47" s="44"/>
      <c r="N47" s="20">
        <f t="shared" si="0"/>
        <v>56910.559999999998</v>
      </c>
    </row>
    <row r="48" spans="1:14" x14ac:dyDescent="0.25">
      <c r="A48" s="61" t="s">
        <v>105</v>
      </c>
      <c r="B48" s="52"/>
      <c r="C48" s="40"/>
      <c r="D48" s="53"/>
      <c r="E48" s="53"/>
      <c r="F48" s="53"/>
      <c r="G48" s="53"/>
      <c r="H48" s="53"/>
      <c r="I48" s="53"/>
      <c r="J48" s="55"/>
      <c r="K48" s="56">
        <v>100000</v>
      </c>
      <c r="L48" s="53"/>
      <c r="M48" s="53"/>
      <c r="N48" s="22">
        <f t="shared" si="0"/>
        <v>100000</v>
      </c>
    </row>
    <row r="49" spans="1:14" x14ac:dyDescent="0.25">
      <c r="A49" s="62" t="s">
        <v>106</v>
      </c>
      <c r="C49" s="39"/>
      <c r="D49" s="44"/>
      <c r="E49" s="44"/>
      <c r="F49" s="44"/>
      <c r="G49" s="44"/>
      <c r="H49" s="44"/>
      <c r="I49" s="44"/>
      <c r="J49" s="44"/>
      <c r="K49" s="57">
        <v>607725</v>
      </c>
      <c r="L49" s="44"/>
      <c r="M49" s="44"/>
      <c r="N49" s="20">
        <f t="shared" si="0"/>
        <v>607725</v>
      </c>
    </row>
    <row r="50" spans="1:14" x14ac:dyDescent="0.25">
      <c r="A50" s="61" t="s">
        <v>107</v>
      </c>
      <c r="B50" s="52"/>
      <c r="C50" s="40"/>
      <c r="D50" s="53"/>
      <c r="E50" s="53"/>
      <c r="F50" s="53"/>
      <c r="G50" s="53"/>
      <c r="H50" s="53"/>
      <c r="I50" s="53"/>
      <c r="J50" s="53"/>
      <c r="K50" s="56">
        <v>17220</v>
      </c>
      <c r="L50" s="53"/>
      <c r="M50" s="53"/>
      <c r="N50" s="22">
        <f t="shared" si="0"/>
        <v>17220</v>
      </c>
    </row>
    <row r="51" spans="1:14" x14ac:dyDescent="0.25">
      <c r="A51" s="62" t="s">
        <v>108</v>
      </c>
      <c r="C51" s="39"/>
      <c r="D51" s="44"/>
      <c r="E51" s="44"/>
      <c r="F51" s="44"/>
      <c r="G51" s="44"/>
      <c r="H51" s="44"/>
      <c r="I51" s="44"/>
      <c r="J51" s="44"/>
      <c r="K51" s="57">
        <v>17220</v>
      </c>
      <c r="L51" s="44"/>
      <c r="M51" s="44"/>
      <c r="N51" s="20">
        <f t="shared" si="0"/>
        <v>17220</v>
      </c>
    </row>
    <row r="52" spans="1:14" x14ac:dyDescent="0.25">
      <c r="A52" s="61" t="s">
        <v>109</v>
      </c>
      <c r="B52" s="52"/>
      <c r="C52" s="40"/>
      <c r="D52" s="53"/>
      <c r="E52" s="53"/>
      <c r="F52" s="53"/>
      <c r="G52" s="53"/>
      <c r="H52" s="53"/>
      <c r="I52" s="53"/>
      <c r="J52" s="53"/>
      <c r="K52" s="56">
        <v>7380</v>
      </c>
      <c r="L52" s="53"/>
      <c r="M52" s="53"/>
      <c r="N52" s="22">
        <f t="shared" si="0"/>
        <v>7380</v>
      </c>
    </row>
    <row r="53" spans="1:14" x14ac:dyDescent="0.25">
      <c r="A53" s="62" t="s">
        <v>110</v>
      </c>
      <c r="C53" s="39"/>
      <c r="D53" s="44"/>
      <c r="E53" s="44"/>
      <c r="F53" s="44"/>
      <c r="G53" s="44"/>
      <c r="H53" s="44"/>
      <c r="I53" s="44"/>
      <c r="J53" s="44"/>
      <c r="K53" s="57">
        <v>10455</v>
      </c>
      <c r="L53" s="44"/>
      <c r="M53" s="44"/>
      <c r="N53" s="20">
        <f t="shared" si="0"/>
        <v>10455</v>
      </c>
    </row>
    <row r="54" spans="1:14" x14ac:dyDescent="0.25">
      <c r="A54" s="61" t="s">
        <v>111</v>
      </c>
      <c r="B54" s="52"/>
      <c r="C54" s="40"/>
      <c r="D54" s="53"/>
      <c r="E54" s="53"/>
      <c r="F54" s="53"/>
      <c r="G54" s="53"/>
      <c r="H54" s="53"/>
      <c r="I54" s="53"/>
      <c r="J54" s="53"/>
      <c r="K54" s="56">
        <v>11070</v>
      </c>
      <c r="L54" s="53"/>
      <c r="M54" s="53"/>
      <c r="N54" s="22">
        <f t="shared" si="0"/>
        <v>11070</v>
      </c>
    </row>
    <row r="55" spans="1:14" x14ac:dyDescent="0.25">
      <c r="A55" s="62" t="s">
        <v>112</v>
      </c>
      <c r="C55" s="39"/>
      <c r="D55" s="44"/>
      <c r="E55" s="44"/>
      <c r="F55" s="44"/>
      <c r="G55" s="44"/>
      <c r="H55" s="44"/>
      <c r="I55" s="44"/>
      <c r="J55" s="44"/>
      <c r="K55" s="57">
        <v>5535</v>
      </c>
      <c r="L55" s="44"/>
      <c r="M55" s="44"/>
      <c r="N55" s="20">
        <f t="shared" si="0"/>
        <v>5535</v>
      </c>
    </row>
    <row r="56" spans="1:14" x14ac:dyDescent="0.25">
      <c r="A56" s="61" t="s">
        <v>113</v>
      </c>
      <c r="B56" s="52"/>
      <c r="C56" s="40"/>
      <c r="D56" s="53"/>
      <c r="E56" s="53"/>
      <c r="F56" s="53"/>
      <c r="G56" s="53"/>
      <c r="H56" s="53"/>
      <c r="I56" s="53"/>
      <c r="J56" s="53"/>
      <c r="K56" s="56">
        <v>1230</v>
      </c>
      <c r="L56" s="53"/>
      <c r="M56" s="53"/>
      <c r="N56" s="22">
        <f t="shared" si="0"/>
        <v>1230</v>
      </c>
    </row>
    <row r="57" spans="1:14" x14ac:dyDescent="0.25">
      <c r="A57" s="60" t="s">
        <v>114</v>
      </c>
      <c r="C57" s="39"/>
      <c r="D57" s="44"/>
      <c r="E57" s="44"/>
      <c r="F57" s="44"/>
      <c r="G57" s="44"/>
      <c r="H57" s="44"/>
      <c r="I57" s="44"/>
      <c r="J57" s="44"/>
      <c r="K57" s="44"/>
      <c r="L57" s="50">
        <v>215000</v>
      </c>
      <c r="M57" s="44"/>
      <c r="N57" s="20">
        <f t="shared" si="0"/>
        <v>215000</v>
      </c>
    </row>
    <row r="58" spans="1:14" x14ac:dyDescent="0.25">
      <c r="A58" s="58" t="s">
        <v>115</v>
      </c>
      <c r="B58" s="52"/>
      <c r="C58" s="40"/>
      <c r="D58" s="53"/>
      <c r="E58" s="53"/>
      <c r="F58" s="53"/>
      <c r="G58" s="53"/>
      <c r="H58" s="53"/>
      <c r="I58" s="53"/>
      <c r="J58" s="53"/>
      <c r="K58" s="53"/>
      <c r="L58" s="51">
        <v>440000</v>
      </c>
      <c r="M58" s="53"/>
      <c r="N58" s="22">
        <f t="shared" si="0"/>
        <v>440000</v>
      </c>
    </row>
    <row r="59" spans="1:14" x14ac:dyDescent="0.25">
      <c r="A59" s="60" t="s">
        <v>116</v>
      </c>
      <c r="C59" s="39"/>
      <c r="D59" s="44"/>
      <c r="E59" s="44"/>
      <c r="F59" s="44"/>
      <c r="G59" s="44"/>
      <c r="H59" s="44"/>
      <c r="I59" s="44"/>
      <c r="J59" s="44"/>
      <c r="K59" s="44"/>
      <c r="L59" s="50">
        <v>2520000</v>
      </c>
      <c r="M59" s="44"/>
      <c r="N59" s="20">
        <f t="shared" si="0"/>
        <v>2520000</v>
      </c>
    </row>
    <row r="60" spans="1:14" x14ac:dyDescent="0.25">
      <c r="A60" s="58" t="s">
        <v>117</v>
      </c>
      <c r="B60" s="52"/>
      <c r="C60" s="40"/>
      <c r="D60" s="53"/>
      <c r="E60" s="53"/>
      <c r="F60" s="53"/>
      <c r="G60" s="53"/>
      <c r="H60" s="53"/>
      <c r="I60" s="53"/>
      <c r="J60" s="53"/>
      <c r="K60" s="53"/>
      <c r="L60" s="51">
        <v>408000</v>
      </c>
      <c r="M60" s="53"/>
      <c r="N60" s="22">
        <f t="shared" si="0"/>
        <v>408000</v>
      </c>
    </row>
    <row r="61" spans="1:14" x14ac:dyDescent="0.25">
      <c r="A61" s="60" t="s">
        <v>115</v>
      </c>
      <c r="C61" s="39"/>
      <c r="D61" s="44"/>
      <c r="E61" s="44"/>
      <c r="F61" s="44"/>
      <c r="G61" s="44"/>
      <c r="H61" s="44"/>
      <c r="I61" s="44"/>
      <c r="J61" s="44"/>
      <c r="K61" s="44"/>
      <c r="L61" s="50">
        <v>20000</v>
      </c>
      <c r="M61" s="44"/>
      <c r="N61" s="20">
        <f t="shared" si="0"/>
        <v>20000</v>
      </c>
    </row>
    <row r="62" spans="1:14" x14ac:dyDescent="0.25">
      <c r="A62" s="58" t="s">
        <v>118</v>
      </c>
      <c r="B62" s="52"/>
      <c r="C62" s="40"/>
      <c r="D62" s="53"/>
      <c r="E62" s="53"/>
      <c r="F62" s="53"/>
      <c r="G62" s="53"/>
      <c r="H62" s="53"/>
      <c r="I62" s="53"/>
      <c r="J62" s="53"/>
      <c r="K62" s="53"/>
      <c r="L62" s="51">
        <v>180000</v>
      </c>
      <c r="M62" s="53"/>
      <c r="N62" s="22">
        <f t="shared" si="0"/>
        <v>180000</v>
      </c>
    </row>
    <row r="63" spans="1:14" x14ac:dyDescent="0.25">
      <c r="A63" s="60" t="s">
        <v>119</v>
      </c>
      <c r="C63" s="39"/>
      <c r="D63" s="44"/>
      <c r="E63" s="44"/>
      <c r="F63" s="44"/>
      <c r="G63" s="44"/>
      <c r="H63" s="44"/>
      <c r="I63" s="44"/>
      <c r="J63" s="44"/>
      <c r="K63" s="44"/>
      <c r="L63" s="50">
        <v>195000</v>
      </c>
      <c r="M63" s="44"/>
      <c r="N63" s="20">
        <f t="shared" si="0"/>
        <v>195000</v>
      </c>
    </row>
    <row r="64" spans="1:14" x14ac:dyDescent="0.25">
      <c r="A64" s="58" t="s">
        <v>120</v>
      </c>
      <c r="B64" s="52"/>
      <c r="C64" s="40"/>
      <c r="D64" s="53"/>
      <c r="E64" s="53"/>
      <c r="F64" s="53"/>
      <c r="G64" s="53"/>
      <c r="H64" s="53"/>
      <c r="I64" s="53"/>
      <c r="J64" s="53"/>
      <c r="K64" s="53"/>
      <c r="L64" s="51">
        <v>45000</v>
      </c>
      <c r="M64" s="53"/>
      <c r="N64" s="22">
        <f t="shared" si="0"/>
        <v>45000</v>
      </c>
    </row>
    <row r="65" spans="1:14" x14ac:dyDescent="0.25">
      <c r="A65" s="60" t="s">
        <v>121</v>
      </c>
      <c r="C65" s="39"/>
      <c r="D65" s="44"/>
      <c r="E65" s="44"/>
      <c r="F65" s="44"/>
      <c r="G65" s="44"/>
      <c r="H65" s="44"/>
      <c r="I65" s="44"/>
      <c r="J65" s="44"/>
      <c r="K65" s="44"/>
      <c r="L65" s="50">
        <v>12000</v>
      </c>
      <c r="M65" s="44"/>
      <c r="N65" s="20">
        <f t="shared" si="0"/>
        <v>12000</v>
      </c>
    </row>
    <row r="66" spans="1:14" x14ac:dyDescent="0.25">
      <c r="A66" s="17" t="s">
        <v>122</v>
      </c>
      <c r="B66" s="52"/>
      <c r="C66" s="40"/>
      <c r="D66" s="53"/>
      <c r="E66" s="53"/>
      <c r="F66" s="53"/>
      <c r="G66" s="53"/>
      <c r="H66" s="53"/>
      <c r="I66" s="53"/>
      <c r="J66" s="53"/>
      <c r="K66" s="53"/>
      <c r="L66" s="53"/>
      <c r="M66" s="14">
        <v>2600000</v>
      </c>
      <c r="N66" s="22">
        <f t="shared" si="0"/>
        <v>2600000</v>
      </c>
    </row>
    <row r="67" spans="1:14" x14ac:dyDescent="0.25">
      <c r="A67" s="18" t="s">
        <v>123</v>
      </c>
      <c r="C67" s="39"/>
      <c r="D67" s="44"/>
      <c r="E67" s="44"/>
      <c r="F67" s="44"/>
      <c r="G67" s="44"/>
      <c r="H67" s="44"/>
      <c r="I67" s="44"/>
      <c r="J67" s="44"/>
      <c r="K67" s="44"/>
      <c r="L67" s="44"/>
      <c r="M67" s="6">
        <v>442000</v>
      </c>
      <c r="N67" s="20">
        <f t="shared" si="0"/>
        <v>442000</v>
      </c>
    </row>
    <row r="68" spans="1:14" x14ac:dyDescent="0.25">
      <c r="A68" s="17" t="s">
        <v>124</v>
      </c>
      <c r="B68" s="52"/>
      <c r="C68" s="40"/>
      <c r="D68" s="53"/>
      <c r="E68" s="53"/>
      <c r="F68" s="53"/>
      <c r="G68" s="53"/>
      <c r="H68" s="53"/>
      <c r="I68" s="53"/>
      <c r="J68" s="53"/>
      <c r="K68" s="53"/>
      <c r="L68" s="53"/>
      <c r="M68" s="14">
        <v>32500</v>
      </c>
      <c r="N68" s="22">
        <f t="shared" ref="N68:N75" si="1">SUM(C68:M68)</f>
        <v>32500</v>
      </c>
    </row>
    <row r="69" spans="1:14" x14ac:dyDescent="0.25">
      <c r="A69" s="18" t="s">
        <v>125</v>
      </c>
      <c r="C69" s="39"/>
      <c r="D69" s="44"/>
      <c r="E69" s="44"/>
      <c r="F69" s="44"/>
      <c r="G69" s="44"/>
      <c r="H69" s="44"/>
      <c r="I69" s="44"/>
      <c r="J69" s="44"/>
      <c r="K69" s="44"/>
      <c r="L69" s="44"/>
      <c r="M69" s="6">
        <v>73200</v>
      </c>
      <c r="N69" s="20">
        <f t="shared" si="1"/>
        <v>73200</v>
      </c>
    </row>
    <row r="70" spans="1:14" x14ac:dyDescent="0.25">
      <c r="A70" s="17" t="s">
        <v>126</v>
      </c>
      <c r="B70" s="52"/>
      <c r="C70" s="40"/>
      <c r="D70" s="53"/>
      <c r="E70" s="53"/>
      <c r="F70" s="53"/>
      <c r="G70" s="53"/>
      <c r="H70" s="53"/>
      <c r="I70" s="53"/>
      <c r="J70" s="53"/>
      <c r="K70" s="53"/>
      <c r="L70" s="53"/>
      <c r="M70" s="14">
        <v>120000</v>
      </c>
      <c r="N70" s="22">
        <f t="shared" si="1"/>
        <v>120000</v>
      </c>
    </row>
    <row r="71" spans="1:14" x14ac:dyDescent="0.25">
      <c r="A71" s="18" t="s">
        <v>127</v>
      </c>
      <c r="C71" s="39"/>
      <c r="D71" s="44"/>
      <c r="E71" s="44"/>
      <c r="F71" s="44"/>
      <c r="G71" s="44"/>
      <c r="H71" s="44"/>
      <c r="I71" s="44"/>
      <c r="J71" s="44"/>
      <c r="K71" s="44"/>
      <c r="L71" s="44"/>
      <c r="M71" s="6">
        <v>5180</v>
      </c>
      <c r="N71" s="20">
        <f t="shared" si="1"/>
        <v>5180</v>
      </c>
    </row>
    <row r="72" spans="1:14" x14ac:dyDescent="0.25">
      <c r="A72" s="17" t="s">
        <v>128</v>
      </c>
      <c r="B72" s="52"/>
      <c r="C72" s="40"/>
      <c r="D72" s="53"/>
      <c r="E72" s="53"/>
      <c r="F72" s="53"/>
      <c r="G72" s="53"/>
      <c r="H72" s="53"/>
      <c r="I72" s="53"/>
      <c r="J72" s="53"/>
      <c r="K72" s="53"/>
      <c r="L72" s="53"/>
      <c r="M72" s="14">
        <v>1050396</v>
      </c>
      <c r="N72" s="22">
        <f t="shared" si="1"/>
        <v>1050396</v>
      </c>
    </row>
    <row r="73" spans="1:14" x14ac:dyDescent="0.25">
      <c r="A73" s="18" t="s">
        <v>129</v>
      </c>
      <c r="C73" s="39"/>
      <c r="D73" s="44"/>
      <c r="E73" s="44"/>
      <c r="F73" s="44"/>
      <c r="G73" s="44"/>
      <c r="H73" s="44"/>
      <c r="I73" s="44"/>
      <c r="J73" s="44"/>
      <c r="K73" s="44"/>
      <c r="L73" s="44"/>
      <c r="M73" s="6">
        <v>300000</v>
      </c>
      <c r="N73" s="20">
        <f t="shared" si="1"/>
        <v>300000</v>
      </c>
    </row>
    <row r="74" spans="1:14" x14ac:dyDescent="0.25">
      <c r="A74" s="17" t="s">
        <v>130</v>
      </c>
      <c r="B74" s="52"/>
      <c r="C74" s="40"/>
      <c r="D74" s="53"/>
      <c r="E74" s="53"/>
      <c r="F74" s="53"/>
      <c r="G74" s="53"/>
      <c r="H74" s="53"/>
      <c r="I74" s="53"/>
      <c r="J74" s="53"/>
      <c r="K74" s="53"/>
      <c r="L74" s="53"/>
      <c r="M74" s="14">
        <v>150000</v>
      </c>
      <c r="N74" s="22">
        <f t="shared" si="1"/>
        <v>150000</v>
      </c>
    </row>
    <row r="75" spans="1:14" ht="13.8" thickBot="1" x14ac:dyDescent="0.3">
      <c r="A75" s="70" t="s">
        <v>131</v>
      </c>
      <c r="B75" s="63"/>
      <c r="C75" s="41"/>
      <c r="D75" s="64"/>
      <c r="E75" s="64"/>
      <c r="F75" s="64"/>
      <c r="G75" s="64"/>
      <c r="H75" s="64"/>
      <c r="I75" s="64"/>
      <c r="J75" s="64"/>
      <c r="K75" s="64"/>
      <c r="L75" s="64"/>
      <c r="M75" s="32">
        <v>150000</v>
      </c>
      <c r="N75" s="33">
        <f t="shared" si="1"/>
        <v>150000</v>
      </c>
    </row>
    <row r="76" spans="1:14" ht="13.8" thickBot="1" x14ac:dyDescent="0.3">
      <c r="A76" s="65" t="s">
        <v>13</v>
      </c>
      <c r="B76" s="66"/>
      <c r="C76" s="34">
        <f t="shared" ref="C76:N76" si="2">SUM(C5:C75)</f>
        <v>450000</v>
      </c>
      <c r="D76" s="35">
        <f t="shared" si="2"/>
        <v>1636470</v>
      </c>
      <c r="E76" s="35">
        <f t="shared" si="2"/>
        <v>3750000</v>
      </c>
      <c r="F76" s="35">
        <f t="shared" si="2"/>
        <v>1190000</v>
      </c>
      <c r="G76" s="35">
        <f t="shared" si="2"/>
        <v>2163467.9400000004</v>
      </c>
      <c r="H76" s="35">
        <f t="shared" si="2"/>
        <v>1004123.5199999999</v>
      </c>
      <c r="I76" s="35">
        <f t="shared" si="2"/>
        <v>1325278.08</v>
      </c>
      <c r="J76" s="35">
        <f t="shared" si="2"/>
        <v>1505812.96</v>
      </c>
      <c r="K76" s="35">
        <f t="shared" si="2"/>
        <v>777835</v>
      </c>
      <c r="L76" s="35">
        <f t="shared" si="2"/>
        <v>4035000</v>
      </c>
      <c r="M76" s="35">
        <f t="shared" si="2"/>
        <v>4923276</v>
      </c>
      <c r="N76" s="36">
        <f t="shared" si="2"/>
        <v>22761263.5</v>
      </c>
    </row>
    <row r="80" spans="1:14" x14ac:dyDescent="0.25">
      <c r="M80" s="42"/>
    </row>
  </sheetData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4"/>
  <sheetViews>
    <sheetView tabSelected="1" topLeftCell="A151" zoomScaleNormal="100" workbookViewId="0">
      <selection activeCell="P54" sqref="P54"/>
    </sheetView>
  </sheetViews>
  <sheetFormatPr defaultRowHeight="13.8" x14ac:dyDescent="0.3"/>
  <cols>
    <col min="1" max="1" width="8" style="84" customWidth="1"/>
    <col min="2" max="2" width="10.44140625" style="84" customWidth="1"/>
    <col min="3" max="3" width="42.5546875" style="84" customWidth="1"/>
    <col min="4" max="4" width="0.109375" style="84" hidden="1" customWidth="1"/>
    <col min="5" max="6" width="0.33203125" style="84" hidden="1" customWidth="1"/>
    <col min="7" max="7" width="0.109375" style="84" hidden="1" customWidth="1"/>
    <col min="8" max="8" width="1" style="84" hidden="1" customWidth="1"/>
    <col min="9" max="9" width="4.109375" style="84" hidden="1" customWidth="1"/>
    <col min="10" max="10" width="4.33203125" style="84" hidden="1" customWidth="1"/>
    <col min="11" max="11" width="22" style="133" customWidth="1"/>
    <col min="12" max="16384" width="8.88671875" style="84"/>
  </cols>
  <sheetData>
    <row r="1" spans="1:11" ht="26.25" customHeight="1" thickBot="1" x14ac:dyDescent="0.35">
      <c r="A1" s="131" t="s">
        <v>349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0.75" customHeight="1" thickBot="1" x14ac:dyDescent="0.35">
      <c r="A2" s="132" t="s">
        <v>216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1" ht="28.2" customHeight="1" thickBot="1" x14ac:dyDescent="0.35">
      <c r="A3" s="92" t="s">
        <v>176</v>
      </c>
      <c r="B3" s="93" t="s">
        <v>189</v>
      </c>
      <c r="C3" s="95" t="s">
        <v>315</v>
      </c>
      <c r="D3" s="94" t="s">
        <v>215</v>
      </c>
      <c r="E3" s="94"/>
      <c r="F3" s="123" t="s">
        <v>191</v>
      </c>
      <c r="G3" s="123" t="s">
        <v>190</v>
      </c>
      <c r="H3" s="95" t="s">
        <v>172</v>
      </c>
      <c r="I3" s="123" t="s">
        <v>207</v>
      </c>
      <c r="J3" s="123" t="s">
        <v>232</v>
      </c>
      <c r="K3" s="134" t="s">
        <v>291</v>
      </c>
    </row>
    <row r="4" spans="1:11" ht="19.8" customHeight="1" thickBot="1" x14ac:dyDescent="0.35">
      <c r="A4" s="135"/>
      <c r="B4" s="136"/>
      <c r="C4" s="137" t="s">
        <v>179</v>
      </c>
      <c r="D4" s="138">
        <f>D5+D37+D39</f>
        <v>18920821.380000003</v>
      </c>
      <c r="E4" s="138">
        <f>E5+E37+E39</f>
        <v>2636298.54</v>
      </c>
      <c r="F4" s="138">
        <f>F5+F37+F39</f>
        <v>21512724.369999997</v>
      </c>
      <c r="G4" s="138">
        <f>G5+G37+G39</f>
        <v>22068000</v>
      </c>
      <c r="H4" s="138" t="s">
        <v>216</v>
      </c>
      <c r="I4" s="138">
        <f>I5+I37+I39</f>
        <v>29103300</v>
      </c>
      <c r="J4" s="138">
        <f>J5+J37+J39</f>
        <v>24284983.139999993</v>
      </c>
      <c r="K4" s="139">
        <f>K5+K37+K39</f>
        <v>29086000</v>
      </c>
    </row>
    <row r="5" spans="1:11" ht="13.8" customHeight="1" thickBot="1" x14ac:dyDescent="0.35">
      <c r="A5" s="140" t="s">
        <v>313</v>
      </c>
      <c r="B5" s="110"/>
      <c r="C5" s="127" t="s">
        <v>173</v>
      </c>
      <c r="D5" s="94">
        <f>SUM(D6:D31)</f>
        <v>17888750.670000002</v>
      </c>
      <c r="E5" s="94">
        <f>SUM(E6:E31)</f>
        <v>2636298.54</v>
      </c>
      <c r="F5" s="141">
        <f>SUM(F6:F31)</f>
        <v>20475049.209999997</v>
      </c>
      <c r="G5" s="141">
        <f>SUM(G6:G31)</f>
        <v>21850000</v>
      </c>
      <c r="H5" s="105" t="s">
        <v>216</v>
      </c>
      <c r="I5" s="141">
        <f>SUM(I6:I34)</f>
        <v>28853300</v>
      </c>
      <c r="J5" s="141">
        <f>SUM(J6:J34)</f>
        <v>23773500.369999994</v>
      </c>
      <c r="K5" s="142">
        <f>SUM(K6:K36)</f>
        <v>27981000</v>
      </c>
    </row>
    <row r="6" spans="1:11" x14ac:dyDescent="0.3">
      <c r="A6" s="143"/>
      <c r="B6" s="99">
        <v>1</v>
      </c>
      <c r="C6" s="100" t="s">
        <v>158</v>
      </c>
      <c r="D6" s="113">
        <v>4026554.14</v>
      </c>
      <c r="E6" s="113">
        <v>641654.54</v>
      </c>
      <c r="F6" s="144">
        <f>SUM(D6:E6)</f>
        <v>4668208.68</v>
      </c>
      <c r="G6" s="145">
        <v>4700000</v>
      </c>
      <c r="H6" s="101">
        <f t="shared" ref="H6:H43" si="0">G6/F6*100</f>
        <v>100.68101754182935</v>
      </c>
      <c r="I6" s="145">
        <v>5500000</v>
      </c>
      <c r="J6" s="145">
        <v>5372309.2000000002</v>
      </c>
      <c r="K6" s="146">
        <v>5500000</v>
      </c>
    </row>
    <row r="7" spans="1:11" x14ac:dyDescent="0.3">
      <c r="A7" s="147"/>
      <c r="B7" s="85">
        <v>2</v>
      </c>
      <c r="C7" s="86" t="s">
        <v>159</v>
      </c>
      <c r="D7" s="81">
        <v>3256742.1</v>
      </c>
      <c r="E7" s="81">
        <v>230000</v>
      </c>
      <c r="F7" s="148">
        <f>SUM(D7:E7)</f>
        <v>3486742.1</v>
      </c>
      <c r="G7" s="149">
        <v>4100000</v>
      </c>
      <c r="H7" s="83">
        <f t="shared" si="0"/>
        <v>117.58827818094146</v>
      </c>
      <c r="I7" s="149">
        <v>6000000</v>
      </c>
      <c r="J7" s="149">
        <v>5878389.25</v>
      </c>
      <c r="K7" s="150">
        <v>7200000</v>
      </c>
    </row>
    <row r="8" spans="1:11" x14ac:dyDescent="0.3">
      <c r="A8" s="147"/>
      <c r="B8" s="85">
        <v>3</v>
      </c>
      <c r="C8" s="86" t="s">
        <v>160</v>
      </c>
      <c r="D8" s="81">
        <v>4262.6400000000003</v>
      </c>
      <c r="E8" s="81">
        <v>644</v>
      </c>
      <c r="F8" s="148">
        <f t="shared" ref="F8:F30" si="1">SUM(D8:E8)</f>
        <v>4906.6400000000003</v>
      </c>
      <c r="G8" s="149">
        <v>5000</v>
      </c>
      <c r="H8" s="83">
        <f t="shared" si="0"/>
        <v>101.90272773221594</v>
      </c>
      <c r="I8" s="149">
        <v>7500</v>
      </c>
      <c r="J8" s="149">
        <v>7920</v>
      </c>
      <c r="K8" s="150">
        <v>10000</v>
      </c>
    </row>
    <row r="9" spans="1:11" x14ac:dyDescent="0.3">
      <c r="A9" s="147"/>
      <c r="B9" s="85">
        <v>4</v>
      </c>
      <c r="C9" s="86" t="s">
        <v>161</v>
      </c>
      <c r="D9" s="81">
        <v>2415911.23</v>
      </c>
      <c r="E9" s="81">
        <v>440000</v>
      </c>
      <c r="F9" s="148">
        <f t="shared" si="1"/>
        <v>2855911.23</v>
      </c>
      <c r="G9" s="149">
        <v>3000000</v>
      </c>
      <c r="H9" s="83">
        <f t="shared" si="0"/>
        <v>105.04528181711026</v>
      </c>
      <c r="I9" s="149">
        <v>3000000</v>
      </c>
      <c r="J9" s="149">
        <v>2980141.1</v>
      </c>
      <c r="K9" s="150">
        <v>3000000</v>
      </c>
    </row>
    <row r="10" spans="1:11" x14ac:dyDescent="0.3">
      <c r="A10" s="147"/>
      <c r="B10" s="85">
        <v>5</v>
      </c>
      <c r="C10" s="86" t="s">
        <v>162</v>
      </c>
      <c r="D10" s="81">
        <v>78745.64</v>
      </c>
      <c r="E10" s="81">
        <v>10000</v>
      </c>
      <c r="F10" s="148">
        <f t="shared" si="1"/>
        <v>88745.64</v>
      </c>
      <c r="G10" s="149">
        <v>200000</v>
      </c>
      <c r="H10" s="83">
        <f t="shared" si="0"/>
        <v>225.36318403923846</v>
      </c>
      <c r="I10" s="149">
        <v>350000</v>
      </c>
      <c r="J10" s="149">
        <v>328367.2</v>
      </c>
      <c r="K10" s="150">
        <v>350000</v>
      </c>
    </row>
    <row r="11" spans="1:11" x14ac:dyDescent="0.3">
      <c r="A11" s="147"/>
      <c r="B11" s="85">
        <v>6</v>
      </c>
      <c r="C11" s="86" t="s">
        <v>163</v>
      </c>
      <c r="D11" s="81">
        <v>323710</v>
      </c>
      <c r="E11" s="81">
        <v>100000</v>
      </c>
      <c r="F11" s="148">
        <f t="shared" si="1"/>
        <v>423710</v>
      </c>
      <c r="G11" s="149">
        <v>750000</v>
      </c>
      <c r="H11" s="83">
        <f t="shared" si="0"/>
        <v>177.00785914894621</v>
      </c>
      <c r="I11" s="149">
        <v>70000</v>
      </c>
      <c r="J11" s="149">
        <v>0</v>
      </c>
      <c r="K11" s="150">
        <v>150000</v>
      </c>
    </row>
    <row r="12" spans="1:11" x14ac:dyDescent="0.3">
      <c r="A12" s="147"/>
      <c r="B12" s="85">
        <v>7</v>
      </c>
      <c r="C12" s="86" t="s">
        <v>164</v>
      </c>
      <c r="D12" s="81">
        <v>23301.94</v>
      </c>
      <c r="E12" s="81">
        <v>4000</v>
      </c>
      <c r="F12" s="148">
        <f t="shared" si="1"/>
        <v>27301.94</v>
      </c>
      <c r="G12" s="149">
        <v>50000</v>
      </c>
      <c r="H12" s="83">
        <f t="shared" si="0"/>
        <v>183.13716900703761</v>
      </c>
      <c r="I12" s="149">
        <v>10000</v>
      </c>
      <c r="J12" s="149">
        <v>16683.2</v>
      </c>
      <c r="K12" s="150">
        <v>10000</v>
      </c>
    </row>
    <row r="13" spans="1:11" x14ac:dyDescent="0.3">
      <c r="A13" s="147"/>
      <c r="B13" s="85">
        <v>8</v>
      </c>
      <c r="C13" s="86" t="s">
        <v>237</v>
      </c>
      <c r="D13" s="81"/>
      <c r="E13" s="81"/>
      <c r="F13" s="148"/>
      <c r="G13" s="149"/>
      <c r="H13" s="83"/>
      <c r="I13" s="149"/>
      <c r="J13" s="149"/>
      <c r="K13" s="150">
        <v>10000</v>
      </c>
    </row>
    <row r="14" spans="1:11" x14ac:dyDescent="0.3">
      <c r="A14" s="151"/>
      <c r="B14" s="85">
        <v>9</v>
      </c>
      <c r="C14" s="86" t="s">
        <v>165</v>
      </c>
      <c r="D14" s="81">
        <v>19798.939999999999</v>
      </c>
      <c r="E14" s="81">
        <v>3000</v>
      </c>
      <c r="F14" s="148">
        <f t="shared" si="1"/>
        <v>22798.94</v>
      </c>
      <c r="G14" s="149">
        <v>23000</v>
      </c>
      <c r="H14" s="83">
        <f t="shared" si="0"/>
        <v>100.88188310509175</v>
      </c>
      <c r="I14" s="149">
        <v>35000</v>
      </c>
      <c r="J14" s="149">
        <v>25405.94</v>
      </c>
      <c r="K14" s="150">
        <v>40000</v>
      </c>
    </row>
    <row r="15" spans="1:11" x14ac:dyDescent="0.3">
      <c r="A15" s="147"/>
      <c r="B15" s="85">
        <v>10</v>
      </c>
      <c r="C15" s="86" t="s">
        <v>166</v>
      </c>
      <c r="D15" s="81">
        <v>419097.21</v>
      </c>
      <c r="E15" s="81">
        <v>80000</v>
      </c>
      <c r="F15" s="148">
        <f t="shared" si="1"/>
        <v>499097.21</v>
      </c>
      <c r="G15" s="149">
        <v>500000</v>
      </c>
      <c r="H15" s="83">
        <f t="shared" si="0"/>
        <v>100.18088460161898</v>
      </c>
      <c r="I15" s="149">
        <v>500000</v>
      </c>
      <c r="J15" s="149">
        <v>428679.16</v>
      </c>
      <c r="K15" s="150">
        <v>400000</v>
      </c>
    </row>
    <row r="16" spans="1:11" x14ac:dyDescent="0.3">
      <c r="A16" s="147"/>
      <c r="B16" s="85">
        <v>11</v>
      </c>
      <c r="C16" s="86" t="s">
        <v>257</v>
      </c>
      <c r="D16" s="81">
        <v>2149096.4500000002</v>
      </c>
      <c r="E16" s="81">
        <v>300000</v>
      </c>
      <c r="F16" s="148">
        <f t="shared" si="1"/>
        <v>2449096.4500000002</v>
      </c>
      <c r="G16" s="149">
        <v>2500000</v>
      </c>
      <c r="H16" s="83">
        <f t="shared" si="0"/>
        <v>102.07846244683421</v>
      </c>
      <c r="I16" s="149">
        <v>1700000</v>
      </c>
      <c r="J16" s="149">
        <v>1644322.8</v>
      </c>
      <c r="K16" s="150">
        <v>2000000</v>
      </c>
    </row>
    <row r="17" spans="1:11" x14ac:dyDescent="0.3">
      <c r="A17" s="147"/>
      <c r="B17" s="85">
        <v>12</v>
      </c>
      <c r="C17" s="86" t="s">
        <v>167</v>
      </c>
      <c r="D17" s="81">
        <v>305457.7</v>
      </c>
      <c r="E17" s="81">
        <v>0</v>
      </c>
      <c r="F17" s="148">
        <f t="shared" si="1"/>
        <v>305457.7</v>
      </c>
      <c r="G17" s="149">
        <v>310000</v>
      </c>
      <c r="H17" s="83">
        <f t="shared" si="0"/>
        <v>101.48704714269765</v>
      </c>
      <c r="I17" s="149">
        <v>380000</v>
      </c>
      <c r="J17" s="149">
        <v>326156.36</v>
      </c>
      <c r="K17" s="150">
        <v>300000</v>
      </c>
    </row>
    <row r="18" spans="1:11" x14ac:dyDescent="0.3">
      <c r="A18" s="147"/>
      <c r="B18" s="85">
        <v>13</v>
      </c>
      <c r="C18" s="90" t="s">
        <v>233</v>
      </c>
      <c r="D18" s="81">
        <v>120028.88</v>
      </c>
      <c r="E18" s="81">
        <v>20000</v>
      </c>
      <c r="F18" s="148">
        <f>SUM(D18:E18)</f>
        <v>140028.88</v>
      </c>
      <c r="G18" s="149">
        <v>150000</v>
      </c>
      <c r="H18" s="83">
        <f t="shared" si="0"/>
        <v>107.12075966043575</v>
      </c>
      <c r="I18" s="149">
        <v>160000</v>
      </c>
      <c r="J18" s="149">
        <v>158847.81</v>
      </c>
      <c r="K18" s="150">
        <v>300000</v>
      </c>
    </row>
    <row r="19" spans="1:11" x14ac:dyDescent="0.3">
      <c r="A19" s="147"/>
      <c r="B19" s="85">
        <v>14</v>
      </c>
      <c r="C19" s="86" t="s">
        <v>226</v>
      </c>
      <c r="D19" s="81">
        <v>967290</v>
      </c>
      <c r="E19" s="81">
        <v>150000</v>
      </c>
      <c r="F19" s="148">
        <f t="shared" si="1"/>
        <v>1117290</v>
      </c>
      <c r="G19" s="149">
        <v>300000</v>
      </c>
      <c r="H19" s="83">
        <f t="shared" si="0"/>
        <v>26.850683349891252</v>
      </c>
      <c r="I19" s="149">
        <v>1500000</v>
      </c>
      <c r="J19" s="149">
        <v>1425017</v>
      </c>
      <c r="K19" s="150">
        <v>1600000</v>
      </c>
    </row>
    <row r="20" spans="1:11" x14ac:dyDescent="0.3">
      <c r="A20" s="147"/>
      <c r="B20" s="85">
        <v>15</v>
      </c>
      <c r="C20" s="86" t="s">
        <v>192</v>
      </c>
      <c r="D20" s="81">
        <v>32006.51</v>
      </c>
      <c r="E20" s="81">
        <v>5000</v>
      </c>
      <c r="F20" s="148">
        <f t="shared" si="1"/>
        <v>37006.509999999995</v>
      </c>
      <c r="G20" s="149">
        <v>60000</v>
      </c>
      <c r="H20" s="83">
        <f t="shared" si="0"/>
        <v>162.13363540631096</v>
      </c>
      <c r="I20" s="149">
        <v>50000</v>
      </c>
      <c r="J20" s="149">
        <v>22894.400000000001</v>
      </c>
      <c r="K20" s="150">
        <v>50000</v>
      </c>
    </row>
    <row r="21" spans="1:11" x14ac:dyDescent="0.3">
      <c r="A21" s="147"/>
      <c r="B21" s="85">
        <v>16</v>
      </c>
      <c r="C21" s="86" t="s">
        <v>231</v>
      </c>
      <c r="D21" s="81">
        <v>692300.28</v>
      </c>
      <c r="E21" s="81">
        <v>50000</v>
      </c>
      <c r="F21" s="148">
        <f t="shared" si="1"/>
        <v>742300.28</v>
      </c>
      <c r="G21" s="149">
        <v>750000</v>
      </c>
      <c r="H21" s="83">
        <f t="shared" si="0"/>
        <v>101.03727833700937</v>
      </c>
      <c r="I21" s="149">
        <v>600000</v>
      </c>
      <c r="J21" s="149">
        <v>560704.79</v>
      </c>
      <c r="K21" s="150">
        <v>300000</v>
      </c>
    </row>
    <row r="22" spans="1:11" x14ac:dyDescent="0.3">
      <c r="A22" s="147"/>
      <c r="B22" s="129" t="s">
        <v>347</v>
      </c>
      <c r="C22" s="86" t="s">
        <v>348</v>
      </c>
      <c r="D22" s="81"/>
      <c r="E22" s="81"/>
      <c r="F22" s="148"/>
      <c r="G22" s="149"/>
      <c r="H22" s="83"/>
      <c r="I22" s="149"/>
      <c r="J22" s="149"/>
      <c r="K22" s="150">
        <v>580000</v>
      </c>
    </row>
    <row r="23" spans="1:11" x14ac:dyDescent="0.3">
      <c r="A23" s="147"/>
      <c r="B23" s="85">
        <v>17</v>
      </c>
      <c r="C23" s="86" t="s">
        <v>168</v>
      </c>
      <c r="D23" s="81">
        <v>10000</v>
      </c>
      <c r="E23" s="81">
        <v>2000</v>
      </c>
      <c r="F23" s="148">
        <f t="shared" si="1"/>
        <v>12000</v>
      </c>
      <c r="G23" s="149">
        <f>F23</f>
        <v>12000</v>
      </c>
      <c r="H23" s="83">
        <f t="shared" si="0"/>
        <v>100</v>
      </c>
      <c r="I23" s="149">
        <v>12000</v>
      </c>
      <c r="J23" s="149">
        <v>12000</v>
      </c>
      <c r="K23" s="150">
        <v>12000</v>
      </c>
    </row>
    <row r="24" spans="1:11" x14ac:dyDescent="0.3">
      <c r="A24" s="147"/>
      <c r="B24" s="85">
        <v>18</v>
      </c>
      <c r="C24" s="86" t="s">
        <v>214</v>
      </c>
      <c r="D24" s="81">
        <v>159230.39999999999</v>
      </c>
      <c r="E24" s="81">
        <v>20000</v>
      </c>
      <c r="F24" s="148">
        <f t="shared" si="1"/>
        <v>179230.4</v>
      </c>
      <c r="G24" s="149">
        <v>180000</v>
      </c>
      <c r="H24" s="83">
        <f t="shared" si="0"/>
        <v>100.42939144252314</v>
      </c>
      <c r="I24" s="149">
        <v>4700000</v>
      </c>
      <c r="J24" s="149">
        <v>672800</v>
      </c>
      <c r="K24" s="150">
        <v>500000</v>
      </c>
    </row>
    <row r="25" spans="1:11" x14ac:dyDescent="0.3">
      <c r="A25" s="147"/>
      <c r="B25" s="85">
        <v>19</v>
      </c>
      <c r="C25" s="86" t="s">
        <v>213</v>
      </c>
      <c r="D25" s="81"/>
      <c r="E25" s="81"/>
      <c r="F25" s="148"/>
      <c r="G25" s="149"/>
      <c r="H25" s="83"/>
      <c r="I25" s="149">
        <v>150000</v>
      </c>
      <c r="J25" s="149">
        <v>210737.84</v>
      </c>
      <c r="K25" s="150">
        <v>200000</v>
      </c>
    </row>
    <row r="26" spans="1:11" x14ac:dyDescent="0.3">
      <c r="A26" s="147"/>
      <c r="B26" s="85">
        <v>20</v>
      </c>
      <c r="C26" s="86" t="s">
        <v>222</v>
      </c>
      <c r="D26" s="81"/>
      <c r="E26" s="81"/>
      <c r="F26" s="148"/>
      <c r="G26" s="149"/>
      <c r="H26" s="83"/>
      <c r="I26" s="149">
        <v>5000</v>
      </c>
      <c r="J26" s="149">
        <v>4676.3999999999996</v>
      </c>
      <c r="K26" s="150">
        <v>15000</v>
      </c>
    </row>
    <row r="27" spans="1:11" x14ac:dyDescent="0.3">
      <c r="A27" s="147"/>
      <c r="B27" s="85">
        <v>21</v>
      </c>
      <c r="C27" s="86" t="s">
        <v>316</v>
      </c>
      <c r="D27" s="81">
        <v>205135.3</v>
      </c>
      <c r="E27" s="81">
        <v>50000</v>
      </c>
      <c r="F27" s="148">
        <f t="shared" si="1"/>
        <v>255135.3</v>
      </c>
      <c r="G27" s="149">
        <v>290000</v>
      </c>
      <c r="H27" s="83">
        <f t="shared" si="0"/>
        <v>113.66518078838953</v>
      </c>
      <c r="I27" s="149">
        <v>560000</v>
      </c>
      <c r="J27" s="152">
        <v>275680</v>
      </c>
      <c r="K27" s="150">
        <f>400000*0.8</f>
        <v>320000</v>
      </c>
    </row>
    <row r="28" spans="1:11" x14ac:dyDescent="0.3">
      <c r="A28" s="147"/>
      <c r="B28" s="85">
        <v>22</v>
      </c>
      <c r="C28" s="86" t="s">
        <v>317</v>
      </c>
      <c r="D28" s="81">
        <v>1140722.99</v>
      </c>
      <c r="E28" s="81">
        <v>150000</v>
      </c>
      <c r="F28" s="148">
        <f t="shared" si="1"/>
        <v>1290722.99</v>
      </c>
      <c r="G28" s="149">
        <v>1290000</v>
      </c>
      <c r="H28" s="83">
        <f t="shared" si="0"/>
        <v>99.943985657216814</v>
      </c>
      <c r="I28" s="149">
        <v>700000</v>
      </c>
      <c r="J28" s="152">
        <v>827816.2</v>
      </c>
      <c r="K28" s="150">
        <f>1600000*0.8</f>
        <v>1280000</v>
      </c>
    </row>
    <row r="29" spans="1:11" x14ac:dyDescent="0.3">
      <c r="A29" s="147"/>
      <c r="B29" s="85">
        <v>23</v>
      </c>
      <c r="C29" s="86" t="s">
        <v>318</v>
      </c>
      <c r="D29" s="81">
        <v>474900.59</v>
      </c>
      <c r="E29" s="81">
        <v>150000</v>
      </c>
      <c r="F29" s="148">
        <f t="shared" si="1"/>
        <v>624900.59000000008</v>
      </c>
      <c r="G29" s="149">
        <v>1200000</v>
      </c>
      <c r="H29" s="83">
        <f t="shared" si="0"/>
        <v>192.03054361014443</v>
      </c>
      <c r="I29" s="149">
        <v>796000</v>
      </c>
      <c r="J29" s="152">
        <v>997604.96</v>
      </c>
      <c r="K29" s="150">
        <f>1500000*0.8</f>
        <v>1200000</v>
      </c>
    </row>
    <row r="30" spans="1:11" x14ac:dyDescent="0.3">
      <c r="A30" s="147"/>
      <c r="B30" s="85">
        <v>24</v>
      </c>
      <c r="C30" s="86" t="s">
        <v>319</v>
      </c>
      <c r="D30" s="81">
        <v>1064457.73</v>
      </c>
      <c r="E30" s="81">
        <v>180000</v>
      </c>
      <c r="F30" s="148">
        <f t="shared" si="1"/>
        <v>1244457.73</v>
      </c>
      <c r="G30" s="149">
        <v>1480000</v>
      </c>
      <c r="H30" s="83">
        <f t="shared" si="0"/>
        <v>118.92730177343991</v>
      </c>
      <c r="I30" s="149">
        <v>1092800</v>
      </c>
      <c r="J30" s="152">
        <v>1089594.76</v>
      </c>
      <c r="K30" s="150">
        <f>1075000*0.8</f>
        <v>860000</v>
      </c>
    </row>
    <row r="31" spans="1:11" x14ac:dyDescent="0.3">
      <c r="A31" s="147"/>
      <c r="B31" s="85">
        <v>25</v>
      </c>
      <c r="C31" s="86" t="s">
        <v>320</v>
      </c>
      <c r="D31" s="81">
        <v>0</v>
      </c>
      <c r="E31" s="81">
        <v>50000</v>
      </c>
      <c r="F31" s="148"/>
      <c r="G31" s="149"/>
      <c r="H31" s="83" t="e">
        <f t="shared" si="0"/>
        <v>#DIV/0!</v>
      </c>
      <c r="I31" s="149">
        <v>600000</v>
      </c>
      <c r="J31" s="152">
        <v>292336</v>
      </c>
      <c r="K31" s="150">
        <f>900000*0.8</f>
        <v>720000</v>
      </c>
    </row>
    <row r="32" spans="1:11" x14ac:dyDescent="0.3">
      <c r="A32" s="147"/>
      <c r="B32" s="85">
        <v>26</v>
      </c>
      <c r="C32" s="86" t="s">
        <v>321</v>
      </c>
      <c r="D32" s="81">
        <v>0</v>
      </c>
      <c r="E32" s="81">
        <v>50000</v>
      </c>
      <c r="F32" s="148">
        <f>SUM(D32:E32)</f>
        <v>50000</v>
      </c>
      <c r="G32" s="149">
        <v>335999</v>
      </c>
      <c r="H32" s="83">
        <f>G32/F32*100</f>
        <v>671.99799999999993</v>
      </c>
      <c r="I32" s="149">
        <v>160000</v>
      </c>
      <c r="J32" s="149">
        <v>0</v>
      </c>
      <c r="K32" s="150">
        <f>30000*0.8</f>
        <v>24000</v>
      </c>
    </row>
    <row r="33" spans="1:11" x14ac:dyDescent="0.3">
      <c r="A33" s="147"/>
      <c r="B33" s="85">
        <v>27</v>
      </c>
      <c r="C33" s="86" t="s">
        <v>322</v>
      </c>
      <c r="D33" s="81"/>
      <c r="E33" s="81"/>
      <c r="F33" s="148"/>
      <c r="G33" s="149"/>
      <c r="H33" s="83"/>
      <c r="I33" s="149">
        <v>75000</v>
      </c>
      <c r="J33" s="149">
        <v>74416</v>
      </c>
      <c r="K33" s="150">
        <v>70000</v>
      </c>
    </row>
    <row r="34" spans="1:11" x14ac:dyDescent="0.3">
      <c r="A34" s="147"/>
      <c r="B34" s="85">
        <v>28</v>
      </c>
      <c r="C34" s="86" t="s">
        <v>323</v>
      </c>
      <c r="D34" s="81">
        <v>0</v>
      </c>
      <c r="E34" s="81">
        <v>50000</v>
      </c>
      <c r="F34" s="148">
        <f>SUM(D34:E34)</f>
        <v>50000</v>
      </c>
      <c r="G34" s="149">
        <v>336000</v>
      </c>
      <c r="H34" s="83">
        <f>G34/F34*100</f>
        <v>672</v>
      </c>
      <c r="I34" s="149">
        <v>140000</v>
      </c>
      <c r="J34" s="149">
        <v>140000</v>
      </c>
      <c r="K34" s="150">
        <f>300000*0.8</f>
        <v>240000</v>
      </c>
    </row>
    <row r="35" spans="1:11" x14ac:dyDescent="0.3">
      <c r="A35" s="147"/>
      <c r="B35" s="85">
        <v>29</v>
      </c>
      <c r="C35" s="86" t="s">
        <v>324</v>
      </c>
      <c r="D35" s="81"/>
      <c r="E35" s="81"/>
      <c r="F35" s="148"/>
      <c r="G35" s="149"/>
      <c r="H35" s="83"/>
      <c r="I35" s="149"/>
      <c r="J35" s="149"/>
      <c r="K35" s="150">
        <f>300000*0.8</f>
        <v>240000</v>
      </c>
    </row>
    <row r="36" spans="1:11" ht="14.4" thickBot="1" x14ac:dyDescent="0.35">
      <c r="A36" s="153"/>
      <c r="B36" s="96">
        <v>30</v>
      </c>
      <c r="C36" s="97" t="s">
        <v>259</v>
      </c>
      <c r="D36" s="117"/>
      <c r="E36" s="117"/>
      <c r="F36" s="154"/>
      <c r="G36" s="155"/>
      <c r="H36" s="98"/>
      <c r="I36" s="155"/>
      <c r="J36" s="155"/>
      <c r="K36" s="156">
        <v>500000</v>
      </c>
    </row>
    <row r="37" spans="1:11" ht="14.4" thickBot="1" x14ac:dyDescent="0.35">
      <c r="A37" s="157" t="s">
        <v>246</v>
      </c>
      <c r="B37" s="102"/>
      <c r="C37" s="103" t="s">
        <v>169</v>
      </c>
      <c r="D37" s="104">
        <f>SUM(D38)</f>
        <v>11667.71</v>
      </c>
      <c r="E37" s="104"/>
      <c r="F37" s="158">
        <f>SUM(F38)</f>
        <v>17272.16</v>
      </c>
      <c r="G37" s="158">
        <f>SUM(G38)</f>
        <v>18000</v>
      </c>
      <c r="H37" s="105">
        <f t="shared" si="0"/>
        <v>104.21394892126983</v>
      </c>
      <c r="I37" s="158">
        <f>SUM(I38)</f>
        <v>50000</v>
      </c>
      <c r="J37" s="158">
        <f>SUM(J38)</f>
        <v>96277.79</v>
      </c>
      <c r="K37" s="159">
        <f>SUM(K38)</f>
        <v>200000</v>
      </c>
    </row>
    <row r="38" spans="1:11" ht="14.4" thickBot="1" x14ac:dyDescent="0.35">
      <c r="A38" s="160"/>
      <c r="B38" s="106">
        <v>1</v>
      </c>
      <c r="C38" s="107" t="s">
        <v>224</v>
      </c>
      <c r="D38" s="125">
        <v>11667.71</v>
      </c>
      <c r="E38" s="125">
        <v>5604.45</v>
      </c>
      <c r="F38" s="161">
        <f>SUM(D38:E38)</f>
        <v>17272.16</v>
      </c>
      <c r="G38" s="162">
        <v>18000</v>
      </c>
      <c r="H38" s="108">
        <f t="shared" si="0"/>
        <v>104.21394892126983</v>
      </c>
      <c r="I38" s="162">
        <v>50000</v>
      </c>
      <c r="J38" s="162">
        <v>96277.79</v>
      </c>
      <c r="K38" s="163">
        <v>200000</v>
      </c>
    </row>
    <row r="39" spans="1:11" ht="17.399999999999999" customHeight="1" thickBot="1" x14ac:dyDescent="0.35">
      <c r="A39" s="157" t="s">
        <v>247</v>
      </c>
      <c r="B39" s="109"/>
      <c r="C39" s="103" t="s">
        <v>170</v>
      </c>
      <c r="D39" s="104">
        <f>SUM(D40:D40)</f>
        <v>1020403</v>
      </c>
      <c r="E39" s="104">
        <f>SUM(E40:E40)</f>
        <v>0</v>
      </c>
      <c r="F39" s="158">
        <f>SUM(F40:F40)</f>
        <v>1020403</v>
      </c>
      <c r="G39" s="158">
        <f>SUM(G40:G40)</f>
        <v>200000</v>
      </c>
      <c r="H39" s="105">
        <f t="shared" si="0"/>
        <v>19.600099176501836</v>
      </c>
      <c r="I39" s="158">
        <f>SUM(I40:I40)</f>
        <v>200000</v>
      </c>
      <c r="J39" s="158">
        <f>SUM(J40:J40)</f>
        <v>415204.98</v>
      </c>
      <c r="K39" s="159">
        <f>SUM(K40:K42)</f>
        <v>905000</v>
      </c>
    </row>
    <row r="40" spans="1:11" x14ac:dyDescent="0.3">
      <c r="A40" s="143"/>
      <c r="B40" s="99">
        <v>1</v>
      </c>
      <c r="C40" s="100" t="s">
        <v>225</v>
      </c>
      <c r="D40" s="113">
        <v>1020403</v>
      </c>
      <c r="E40" s="113">
        <v>0</v>
      </c>
      <c r="F40" s="144">
        <f>SUM(D40:E40)</f>
        <v>1020403</v>
      </c>
      <c r="G40" s="145">
        <v>200000</v>
      </c>
      <c r="H40" s="101">
        <f t="shared" si="0"/>
        <v>19.600099176501836</v>
      </c>
      <c r="I40" s="145">
        <v>200000</v>
      </c>
      <c r="J40" s="145">
        <f>13018.63+384856.42+17329.93</f>
        <v>415204.98</v>
      </c>
      <c r="K40" s="164">
        <v>400000</v>
      </c>
    </row>
    <row r="41" spans="1:11" x14ac:dyDescent="0.3">
      <c r="A41" s="147"/>
      <c r="B41" s="85">
        <v>2</v>
      </c>
      <c r="C41" s="86" t="s">
        <v>260</v>
      </c>
      <c r="D41" s="81"/>
      <c r="E41" s="81"/>
      <c r="F41" s="148"/>
      <c r="G41" s="149"/>
      <c r="H41" s="83"/>
      <c r="I41" s="149"/>
      <c r="J41" s="149"/>
      <c r="K41" s="165">
        <v>5000</v>
      </c>
    </row>
    <row r="42" spans="1:11" ht="14.4" customHeight="1" thickBot="1" x14ac:dyDescent="0.35">
      <c r="A42" s="153"/>
      <c r="B42" s="96">
        <v>3</v>
      </c>
      <c r="C42" s="97" t="s">
        <v>282</v>
      </c>
      <c r="D42" s="117"/>
      <c r="E42" s="117"/>
      <c r="F42" s="154"/>
      <c r="G42" s="155"/>
      <c r="H42" s="98"/>
      <c r="I42" s="155"/>
      <c r="J42" s="155"/>
      <c r="K42" s="166">
        <v>500000</v>
      </c>
    </row>
    <row r="43" spans="1:11" ht="15.6" customHeight="1" thickBot="1" x14ac:dyDescent="0.35">
      <c r="A43" s="157"/>
      <c r="B43" s="109"/>
      <c r="C43" s="103" t="s">
        <v>177</v>
      </c>
      <c r="D43" s="104" t="e">
        <f>SUM(D39,D37,#REF!,D5)</f>
        <v>#REF!</v>
      </c>
      <c r="E43" s="104" t="e">
        <f>SUM(E39,E37,#REF!,E5)</f>
        <v>#REF!</v>
      </c>
      <c r="F43" s="158" t="e">
        <f>SUM(F39,F37,#REF!,F5)</f>
        <v>#REF!</v>
      </c>
      <c r="G43" s="158" t="e">
        <f>SUM(G39,G37,#REF!,G5)</f>
        <v>#REF!</v>
      </c>
      <c r="H43" s="105" t="e">
        <f t="shared" si="0"/>
        <v>#REF!</v>
      </c>
      <c r="I43" s="158">
        <f>I4</f>
        <v>29103300</v>
      </c>
      <c r="J43" s="158">
        <f>SUM(J5+J37+J39)</f>
        <v>24284983.139999993</v>
      </c>
      <c r="K43" s="167">
        <f>K4</f>
        <v>29086000</v>
      </c>
    </row>
    <row r="44" spans="1:11" ht="33.6" customHeight="1" thickBot="1" x14ac:dyDescent="0.35">
      <c r="A44" s="92" t="s">
        <v>176</v>
      </c>
      <c r="B44" s="93" t="s">
        <v>189</v>
      </c>
      <c r="C44" s="95" t="s">
        <v>314</v>
      </c>
      <c r="D44" s="94" t="s">
        <v>215</v>
      </c>
      <c r="E44" s="94"/>
      <c r="F44" s="123" t="s">
        <v>191</v>
      </c>
      <c r="G44" s="123" t="s">
        <v>190</v>
      </c>
      <c r="H44" s="95" t="s">
        <v>172</v>
      </c>
      <c r="I44" s="123" t="s">
        <v>207</v>
      </c>
      <c r="J44" s="123" t="s">
        <v>232</v>
      </c>
      <c r="K44" s="168" t="s">
        <v>291</v>
      </c>
    </row>
    <row r="45" spans="1:11" ht="21.6" customHeight="1" thickBot="1" x14ac:dyDescent="0.35">
      <c r="A45" s="169"/>
      <c r="B45" s="170"/>
      <c r="C45" s="114" t="s">
        <v>178</v>
      </c>
      <c r="D45" s="104" t="e">
        <f>SUM(D183)</f>
        <v>#REF!</v>
      </c>
      <c r="E45" s="104" t="e">
        <f>SUM(E183)</f>
        <v>#REF!</v>
      </c>
      <c r="F45" s="104" t="e">
        <f>SUM(F183)</f>
        <v>#REF!</v>
      </c>
      <c r="G45" s="104" t="e">
        <f>SUM(G183)</f>
        <v>#REF!</v>
      </c>
      <c r="H45" s="105" t="e">
        <f t="shared" ref="H45:H63" si="2">G45/F45*100</f>
        <v>#REF!</v>
      </c>
      <c r="I45" s="104">
        <f ca="1">I46+I83+I101+I140+I159+I168+I171+I174</f>
        <v>23343400</v>
      </c>
      <c r="J45" s="104">
        <f ca="1">J46+J83+J101+J140+J159+J168+J171+J174</f>
        <v>19426224.699999999</v>
      </c>
      <c r="K45" s="171">
        <f>+K46+K83+K101+K140+K148+K157+K159+K168+K171+K174+K180</f>
        <v>28646600</v>
      </c>
    </row>
    <row r="46" spans="1:11" ht="14.4" thickBot="1" x14ac:dyDescent="0.35">
      <c r="A46" s="157" t="s">
        <v>248</v>
      </c>
      <c r="B46" s="102"/>
      <c r="C46" s="114" t="s">
        <v>145</v>
      </c>
      <c r="D46" s="104">
        <f>SUM(D47:D75)</f>
        <v>921963.62</v>
      </c>
      <c r="E46" s="104">
        <f>SUM(E47:E75)</f>
        <v>305760.71999999997</v>
      </c>
      <c r="F46" s="158">
        <f>SUM(F47:F75)</f>
        <v>1522425.1300000001</v>
      </c>
      <c r="G46" s="158">
        <f>SUM(G47:G75)</f>
        <v>2010000</v>
      </c>
      <c r="H46" s="105">
        <f t="shared" si="2"/>
        <v>132.02619691386727</v>
      </c>
      <c r="I46" s="158">
        <f>SUM(I47:I77)</f>
        <v>2249000</v>
      </c>
      <c r="J46" s="158">
        <f>SUM(J47:J77)</f>
        <v>1744869.22</v>
      </c>
      <c r="K46" s="172">
        <f>SUM(K47:K82)</f>
        <v>3534800</v>
      </c>
    </row>
    <row r="47" spans="1:11" x14ac:dyDescent="0.3">
      <c r="A47" s="143"/>
      <c r="B47" s="112">
        <v>1</v>
      </c>
      <c r="C47" s="111" t="s">
        <v>208</v>
      </c>
      <c r="D47" s="113">
        <v>74696.88</v>
      </c>
      <c r="E47" s="113">
        <v>30872.9</v>
      </c>
      <c r="F47" s="144">
        <v>68907.679999999993</v>
      </c>
      <c r="G47" s="144">
        <v>65000</v>
      </c>
      <c r="H47" s="101">
        <f t="shared" si="2"/>
        <v>94.329108163270064</v>
      </c>
      <c r="I47" s="144">
        <v>99000</v>
      </c>
      <c r="J47" s="144">
        <v>97015.45</v>
      </c>
      <c r="K47" s="164">
        <v>19800</v>
      </c>
    </row>
    <row r="48" spans="1:11" x14ac:dyDescent="0.3">
      <c r="A48" s="147"/>
      <c r="B48" s="89">
        <v>2</v>
      </c>
      <c r="C48" s="82" t="s">
        <v>217</v>
      </c>
      <c r="D48" s="81"/>
      <c r="E48" s="81"/>
      <c r="F48" s="148">
        <v>29854</v>
      </c>
      <c r="G48" s="148">
        <v>30000</v>
      </c>
      <c r="H48" s="83">
        <f t="shared" si="2"/>
        <v>100.48904669391037</v>
      </c>
      <c r="I48" s="148">
        <v>30000</v>
      </c>
      <c r="J48" s="148">
        <v>29184.400000000001</v>
      </c>
      <c r="K48" s="165">
        <v>50000</v>
      </c>
    </row>
    <row r="49" spans="1:11" x14ac:dyDescent="0.3">
      <c r="A49" s="147"/>
      <c r="B49" s="89">
        <v>3</v>
      </c>
      <c r="C49" s="82" t="s">
        <v>182</v>
      </c>
      <c r="D49" s="81"/>
      <c r="E49" s="81"/>
      <c r="F49" s="148">
        <v>5784</v>
      </c>
      <c r="G49" s="148">
        <v>10000</v>
      </c>
      <c r="H49" s="83">
        <f t="shared" si="2"/>
        <v>172.89073305670817</v>
      </c>
      <c r="I49" s="148">
        <v>12000</v>
      </c>
      <c r="J49" s="148">
        <v>11177.42</v>
      </c>
      <c r="K49" s="165">
        <v>30000</v>
      </c>
    </row>
    <row r="50" spans="1:11" x14ac:dyDescent="0.3">
      <c r="A50" s="147"/>
      <c r="B50" s="89">
        <v>4</v>
      </c>
      <c r="C50" s="82" t="s">
        <v>181</v>
      </c>
      <c r="D50" s="81"/>
      <c r="E50" s="81"/>
      <c r="F50" s="148">
        <v>22327.16</v>
      </c>
      <c r="G50" s="148">
        <v>25000</v>
      </c>
      <c r="H50" s="83">
        <f t="shared" si="2"/>
        <v>111.97124936624272</v>
      </c>
      <c r="I50" s="148">
        <v>10000</v>
      </c>
      <c r="J50" s="148">
        <v>6667.2</v>
      </c>
      <c r="K50" s="165">
        <v>30000</v>
      </c>
    </row>
    <row r="51" spans="1:11" x14ac:dyDescent="0.3">
      <c r="A51" s="147"/>
      <c r="B51" s="89">
        <v>5</v>
      </c>
      <c r="C51" s="82" t="s">
        <v>180</v>
      </c>
      <c r="D51" s="81"/>
      <c r="E51" s="81"/>
      <c r="F51" s="148">
        <v>15870</v>
      </c>
      <c r="G51" s="148">
        <v>55000</v>
      </c>
      <c r="H51" s="83">
        <f t="shared" si="2"/>
        <v>346.56584751102713</v>
      </c>
      <c r="I51" s="148">
        <v>20000</v>
      </c>
      <c r="J51" s="148">
        <v>12396.39</v>
      </c>
      <c r="K51" s="165">
        <v>80000</v>
      </c>
    </row>
    <row r="52" spans="1:11" x14ac:dyDescent="0.3">
      <c r="A52" s="147"/>
      <c r="B52" s="89">
        <v>6</v>
      </c>
      <c r="C52" s="82" t="s">
        <v>195</v>
      </c>
      <c r="D52" s="81"/>
      <c r="E52" s="81"/>
      <c r="F52" s="148">
        <v>21341</v>
      </c>
      <c r="G52" s="148">
        <v>35000</v>
      </c>
      <c r="H52" s="83">
        <f t="shared" si="2"/>
        <v>164.0035612201865</v>
      </c>
      <c r="I52" s="148">
        <v>30000</v>
      </c>
      <c r="J52" s="148">
        <v>12590</v>
      </c>
      <c r="K52" s="165">
        <v>50000</v>
      </c>
    </row>
    <row r="53" spans="1:11" x14ac:dyDescent="0.3">
      <c r="A53" s="147"/>
      <c r="B53" s="89">
        <v>7</v>
      </c>
      <c r="C53" s="82" t="s">
        <v>236</v>
      </c>
      <c r="D53" s="81">
        <v>43668.639999999999</v>
      </c>
      <c r="E53" s="81">
        <f>D53/9*3</f>
        <v>14556.213333333333</v>
      </c>
      <c r="F53" s="148">
        <v>66106.83</v>
      </c>
      <c r="G53" s="148">
        <v>65000</v>
      </c>
      <c r="H53" s="83">
        <f t="shared" si="2"/>
        <v>98.325694939539531</v>
      </c>
      <c r="I53" s="148">
        <v>99000</v>
      </c>
      <c r="J53" s="148">
        <v>99713.66</v>
      </c>
      <c r="K53" s="165">
        <v>90000</v>
      </c>
    </row>
    <row r="54" spans="1:11" x14ac:dyDescent="0.3">
      <c r="A54" s="147"/>
      <c r="B54" s="89">
        <v>8</v>
      </c>
      <c r="C54" s="82" t="s">
        <v>238</v>
      </c>
      <c r="D54" s="81"/>
      <c r="E54" s="81"/>
      <c r="F54" s="148"/>
      <c r="G54" s="148"/>
      <c r="H54" s="83"/>
      <c r="I54" s="148"/>
      <c r="J54" s="148"/>
      <c r="K54" s="165">
        <v>30000</v>
      </c>
    </row>
    <row r="55" spans="1:11" x14ac:dyDescent="0.3">
      <c r="A55" s="147"/>
      <c r="B55" s="89">
        <v>9</v>
      </c>
      <c r="C55" s="82" t="s">
        <v>239</v>
      </c>
      <c r="D55" s="81"/>
      <c r="E55" s="81"/>
      <c r="F55" s="148"/>
      <c r="G55" s="148"/>
      <c r="H55" s="83"/>
      <c r="I55" s="148"/>
      <c r="J55" s="148"/>
      <c r="K55" s="165">
        <v>15000</v>
      </c>
    </row>
    <row r="56" spans="1:11" x14ac:dyDescent="0.3">
      <c r="A56" s="147"/>
      <c r="B56" s="89">
        <v>10</v>
      </c>
      <c r="C56" s="82" t="s">
        <v>211</v>
      </c>
      <c r="D56" s="81"/>
      <c r="E56" s="81"/>
      <c r="F56" s="148"/>
      <c r="G56" s="148"/>
      <c r="H56" s="83"/>
      <c r="I56" s="148">
        <v>10000</v>
      </c>
      <c r="J56" s="148">
        <v>9316.4</v>
      </c>
      <c r="K56" s="165">
        <v>15000</v>
      </c>
    </row>
    <row r="57" spans="1:11" x14ac:dyDescent="0.3">
      <c r="A57" s="147"/>
      <c r="B57" s="89">
        <v>11</v>
      </c>
      <c r="C57" s="82" t="s">
        <v>209</v>
      </c>
      <c r="D57" s="81">
        <v>45841.47</v>
      </c>
      <c r="E57" s="81">
        <f>D57/9*3</f>
        <v>15280.490000000002</v>
      </c>
      <c r="F57" s="148">
        <f>D57+E57</f>
        <v>61121.960000000006</v>
      </c>
      <c r="G57" s="148">
        <v>65000</v>
      </c>
      <c r="H57" s="83">
        <f t="shared" si="2"/>
        <v>106.34475726890955</v>
      </c>
      <c r="I57" s="148">
        <v>55000</v>
      </c>
      <c r="J57" s="148">
        <v>54572.34</v>
      </c>
      <c r="K57" s="165">
        <v>85000</v>
      </c>
    </row>
    <row r="58" spans="1:11" x14ac:dyDescent="0.3">
      <c r="A58" s="147"/>
      <c r="B58" s="89">
        <v>12</v>
      </c>
      <c r="C58" s="82" t="s">
        <v>265</v>
      </c>
      <c r="D58" s="81">
        <v>21505.119999999999</v>
      </c>
      <c r="E58" s="81">
        <f>D58/9*3</f>
        <v>7168.373333333333</v>
      </c>
      <c r="F58" s="148">
        <v>50426.34</v>
      </c>
      <c r="G58" s="148">
        <v>55000</v>
      </c>
      <c r="H58" s="83">
        <f t="shared" si="2"/>
        <v>109.06998207682732</v>
      </c>
      <c r="I58" s="148">
        <v>60000</v>
      </c>
      <c r="J58" s="148">
        <v>61107.45</v>
      </c>
      <c r="K58" s="165">
        <v>80000</v>
      </c>
    </row>
    <row r="59" spans="1:11" x14ac:dyDescent="0.3">
      <c r="A59" s="147"/>
      <c r="B59" s="89">
        <v>13</v>
      </c>
      <c r="C59" s="82" t="s">
        <v>272</v>
      </c>
      <c r="D59" s="81"/>
      <c r="E59" s="81"/>
      <c r="F59" s="148"/>
      <c r="G59" s="148"/>
      <c r="H59" s="83"/>
      <c r="I59" s="148"/>
      <c r="J59" s="148"/>
      <c r="K59" s="165">
        <v>50000</v>
      </c>
    </row>
    <row r="60" spans="1:11" x14ac:dyDescent="0.3">
      <c r="A60" s="147"/>
      <c r="B60" s="89">
        <v>14</v>
      </c>
      <c r="C60" s="82" t="s">
        <v>329</v>
      </c>
      <c r="D60" s="81"/>
      <c r="E60" s="81"/>
      <c r="F60" s="148"/>
      <c r="G60" s="148"/>
      <c r="H60" s="83"/>
      <c r="I60" s="148"/>
      <c r="J60" s="148"/>
      <c r="K60" s="165">
        <v>30000</v>
      </c>
    </row>
    <row r="61" spans="1:11" x14ac:dyDescent="0.3">
      <c r="A61" s="147"/>
      <c r="B61" s="89">
        <v>15</v>
      </c>
      <c r="C61" s="82" t="s">
        <v>240</v>
      </c>
      <c r="D61" s="81">
        <v>15575.24</v>
      </c>
      <c r="E61" s="81">
        <f>D61/9*3</f>
        <v>5191.7466666666669</v>
      </c>
      <c r="F61" s="148">
        <v>30134.41</v>
      </c>
      <c r="G61" s="148">
        <v>45000</v>
      </c>
      <c r="H61" s="83">
        <f t="shared" si="2"/>
        <v>149.33094757786861</v>
      </c>
      <c r="I61" s="148">
        <v>60000</v>
      </c>
      <c r="J61" s="148">
        <v>53590.28</v>
      </c>
      <c r="K61" s="165">
        <v>90000</v>
      </c>
    </row>
    <row r="62" spans="1:11" x14ac:dyDescent="0.3">
      <c r="A62" s="147"/>
      <c r="B62" s="89">
        <v>16</v>
      </c>
      <c r="C62" s="82" t="s">
        <v>241</v>
      </c>
      <c r="D62" s="81"/>
      <c r="E62" s="81"/>
      <c r="F62" s="148"/>
      <c r="G62" s="148"/>
      <c r="H62" s="83"/>
      <c r="I62" s="148"/>
      <c r="J62" s="148"/>
      <c r="K62" s="165">
        <v>50000</v>
      </c>
    </row>
    <row r="63" spans="1:11" x14ac:dyDescent="0.3">
      <c r="A63" s="147"/>
      <c r="B63" s="89">
        <v>17</v>
      </c>
      <c r="C63" s="82" t="s">
        <v>303</v>
      </c>
      <c r="D63" s="81">
        <v>52550.83</v>
      </c>
      <c r="E63" s="81">
        <f>D63/9*3</f>
        <v>17516.943333333333</v>
      </c>
      <c r="F63" s="148">
        <v>65553.820000000007</v>
      </c>
      <c r="G63" s="148">
        <v>65000</v>
      </c>
      <c r="H63" s="83">
        <f t="shared" si="2"/>
        <v>99.155167463925054</v>
      </c>
      <c r="I63" s="148">
        <v>65000</v>
      </c>
      <c r="J63" s="148">
        <v>65312.52</v>
      </c>
      <c r="K63" s="165">
        <v>50000</v>
      </c>
    </row>
    <row r="64" spans="1:11" x14ac:dyDescent="0.3">
      <c r="A64" s="147"/>
      <c r="B64" s="89">
        <v>18</v>
      </c>
      <c r="C64" s="82" t="s">
        <v>266</v>
      </c>
      <c r="D64" s="81"/>
      <c r="E64" s="81"/>
      <c r="F64" s="148"/>
      <c r="G64" s="148"/>
      <c r="H64" s="83"/>
      <c r="I64" s="148"/>
      <c r="J64" s="148"/>
      <c r="K64" s="165">
        <f>50000+20000+30000+20000+95000+30000+20000+20000+20000+30000</f>
        <v>335000</v>
      </c>
    </row>
    <row r="65" spans="1:11" x14ac:dyDescent="0.3">
      <c r="A65" s="147"/>
      <c r="B65" s="89">
        <v>19</v>
      </c>
      <c r="C65" s="82" t="s">
        <v>275</v>
      </c>
      <c r="D65" s="81"/>
      <c r="E65" s="81"/>
      <c r="F65" s="148"/>
      <c r="G65" s="148"/>
      <c r="H65" s="83"/>
      <c r="I65" s="148"/>
      <c r="J65" s="148"/>
      <c r="K65" s="165">
        <v>50000</v>
      </c>
    </row>
    <row r="66" spans="1:11" x14ac:dyDescent="0.3">
      <c r="A66" s="147"/>
      <c r="B66" s="89">
        <v>20</v>
      </c>
      <c r="C66" s="82" t="s">
        <v>276</v>
      </c>
      <c r="D66" s="81"/>
      <c r="E66" s="81"/>
      <c r="F66" s="148"/>
      <c r="G66" s="148"/>
      <c r="H66" s="83"/>
      <c r="I66" s="148"/>
      <c r="J66" s="148"/>
      <c r="K66" s="165">
        <v>50000</v>
      </c>
    </row>
    <row r="67" spans="1:11" x14ac:dyDescent="0.3">
      <c r="A67" s="147"/>
      <c r="B67" s="89">
        <v>21</v>
      </c>
      <c r="C67" s="82" t="s">
        <v>50</v>
      </c>
      <c r="D67" s="81"/>
      <c r="E67" s="81"/>
      <c r="F67" s="148"/>
      <c r="G67" s="148"/>
      <c r="H67" s="83"/>
      <c r="I67" s="148"/>
      <c r="J67" s="148"/>
      <c r="K67" s="165">
        <v>70000</v>
      </c>
    </row>
    <row r="68" spans="1:11" x14ac:dyDescent="0.3">
      <c r="A68" s="147"/>
      <c r="B68" s="89">
        <v>22</v>
      </c>
      <c r="C68" s="82" t="s">
        <v>302</v>
      </c>
      <c r="D68" s="81"/>
      <c r="E68" s="81"/>
      <c r="F68" s="148"/>
      <c r="G68" s="148"/>
      <c r="H68" s="83"/>
      <c r="I68" s="148"/>
      <c r="J68" s="148"/>
      <c r="K68" s="165">
        <v>20000</v>
      </c>
    </row>
    <row r="69" spans="1:11" x14ac:dyDescent="0.3">
      <c r="A69" s="147"/>
      <c r="B69" s="89">
        <v>23</v>
      </c>
      <c r="C69" s="82" t="s">
        <v>242</v>
      </c>
      <c r="D69" s="81">
        <v>12603.27</v>
      </c>
      <c r="E69" s="81">
        <v>4000</v>
      </c>
      <c r="F69" s="148">
        <v>45174.91</v>
      </c>
      <c r="G69" s="148">
        <v>60000</v>
      </c>
      <c r="H69" s="83">
        <f>G69/F69*100</f>
        <v>132.81708806946156</v>
      </c>
      <c r="I69" s="148">
        <v>69000</v>
      </c>
      <c r="J69" s="148">
        <f>48873.8+17368.52</f>
        <v>66242.320000000007</v>
      </c>
      <c r="K69" s="165">
        <v>50000</v>
      </c>
    </row>
    <row r="70" spans="1:11" x14ac:dyDescent="0.3">
      <c r="A70" s="147"/>
      <c r="B70" s="89">
        <v>24</v>
      </c>
      <c r="C70" s="82" t="s">
        <v>274</v>
      </c>
      <c r="D70" s="81"/>
      <c r="E70" s="81"/>
      <c r="F70" s="148"/>
      <c r="G70" s="148"/>
      <c r="H70" s="83"/>
      <c r="I70" s="148"/>
      <c r="J70" s="148"/>
      <c r="K70" s="165">
        <v>50000</v>
      </c>
    </row>
    <row r="71" spans="1:11" x14ac:dyDescent="0.3">
      <c r="A71" s="147"/>
      <c r="B71" s="89">
        <v>25</v>
      </c>
      <c r="C71" s="82" t="s">
        <v>205</v>
      </c>
      <c r="D71" s="81"/>
      <c r="E71" s="81"/>
      <c r="F71" s="148"/>
      <c r="G71" s="148">
        <v>45000</v>
      </c>
      <c r="H71" s="83"/>
      <c r="I71" s="148">
        <v>45000</v>
      </c>
      <c r="J71" s="148">
        <f>355.98+25110.24</f>
        <v>25466.22</v>
      </c>
      <c r="K71" s="165">
        <v>35000</v>
      </c>
    </row>
    <row r="72" spans="1:11" x14ac:dyDescent="0.3">
      <c r="A72" s="147"/>
      <c r="B72" s="89">
        <v>26</v>
      </c>
      <c r="C72" s="82" t="s">
        <v>144</v>
      </c>
      <c r="D72" s="81">
        <v>502000</v>
      </c>
      <c r="E72" s="81">
        <v>160000</v>
      </c>
      <c r="F72" s="148">
        <v>694820.97</v>
      </c>
      <c r="G72" s="148">
        <v>800000</v>
      </c>
      <c r="H72" s="83">
        <f>G72/F72*100</f>
        <v>115.13757277648082</v>
      </c>
      <c r="I72" s="148">
        <v>840000</v>
      </c>
      <c r="J72" s="148">
        <f>502690.03+894.85+383.51</f>
        <v>503968.39</v>
      </c>
      <c r="K72" s="165">
        <v>800000</v>
      </c>
    </row>
    <row r="73" spans="1:11" x14ac:dyDescent="0.3">
      <c r="A73" s="147"/>
      <c r="B73" s="89">
        <v>27</v>
      </c>
      <c r="C73" s="82" t="s">
        <v>143</v>
      </c>
      <c r="D73" s="81">
        <v>56588.5</v>
      </c>
      <c r="E73" s="81">
        <f>D73/9*3</f>
        <v>18862.833333333336</v>
      </c>
      <c r="F73" s="148">
        <v>126239.33</v>
      </c>
      <c r="G73" s="148">
        <v>370000</v>
      </c>
      <c r="H73" s="83">
        <f>G73/F73*100</f>
        <v>293.09407773314382</v>
      </c>
      <c r="I73" s="148">
        <v>197000</v>
      </c>
      <c r="J73" s="148">
        <v>120525.63</v>
      </c>
      <c r="K73" s="165">
        <v>195000</v>
      </c>
    </row>
    <row r="74" spans="1:11" x14ac:dyDescent="0.3">
      <c r="A74" s="147"/>
      <c r="B74" s="89">
        <v>28</v>
      </c>
      <c r="C74" s="82" t="s">
        <v>185</v>
      </c>
      <c r="D74" s="81">
        <v>96933.67</v>
      </c>
      <c r="E74" s="81">
        <v>32311.22</v>
      </c>
      <c r="F74" s="148">
        <v>154599.51999999999</v>
      </c>
      <c r="G74" s="148">
        <v>155000</v>
      </c>
      <c r="H74" s="83">
        <f>G74/F74*100</f>
        <v>100.25904349508976</v>
      </c>
      <c r="I74" s="148">
        <v>99000</v>
      </c>
      <c r="J74" s="148">
        <f>99178.21+386.64</f>
        <v>99564.85</v>
      </c>
      <c r="K74" s="165">
        <v>30000</v>
      </c>
    </row>
    <row r="75" spans="1:11" x14ac:dyDescent="0.3">
      <c r="A75" s="147"/>
      <c r="B75" s="89">
        <v>29</v>
      </c>
      <c r="C75" s="82" t="s">
        <v>186</v>
      </c>
      <c r="D75" s="81"/>
      <c r="E75" s="81"/>
      <c r="F75" s="148">
        <v>64163.199999999997</v>
      </c>
      <c r="G75" s="148">
        <v>65000</v>
      </c>
      <c r="H75" s="83">
        <f>G75/F75*100</f>
        <v>101.30417435539376</v>
      </c>
      <c r="I75" s="148">
        <v>150000</v>
      </c>
      <c r="J75" s="148">
        <f>130228.01</f>
        <v>130228.01</v>
      </c>
      <c r="K75" s="165">
        <v>190000</v>
      </c>
    </row>
    <row r="76" spans="1:11" x14ac:dyDescent="0.3">
      <c r="A76" s="147"/>
      <c r="B76" s="89">
        <v>30</v>
      </c>
      <c r="C76" s="82" t="s">
        <v>219</v>
      </c>
      <c r="D76" s="81"/>
      <c r="E76" s="81"/>
      <c r="F76" s="148"/>
      <c r="G76" s="148"/>
      <c r="H76" s="83"/>
      <c r="I76" s="148">
        <v>200000</v>
      </c>
      <c r="J76" s="148">
        <v>192685.29</v>
      </c>
      <c r="K76" s="165">
        <v>250000</v>
      </c>
    </row>
    <row r="77" spans="1:11" x14ac:dyDescent="0.3">
      <c r="A77" s="147"/>
      <c r="B77" s="89">
        <v>31</v>
      </c>
      <c r="C77" s="82" t="s">
        <v>273</v>
      </c>
      <c r="D77" s="81"/>
      <c r="E77" s="81"/>
      <c r="F77" s="148"/>
      <c r="G77" s="148"/>
      <c r="H77" s="83"/>
      <c r="I77" s="148">
        <v>99000</v>
      </c>
      <c r="J77" s="148">
        <v>93545</v>
      </c>
      <c r="K77" s="165">
        <v>90000</v>
      </c>
    </row>
    <row r="78" spans="1:11" x14ac:dyDescent="0.3">
      <c r="A78" s="173"/>
      <c r="B78" s="89">
        <v>32</v>
      </c>
      <c r="C78" s="82" t="s">
        <v>281</v>
      </c>
      <c r="D78" s="81"/>
      <c r="E78" s="81"/>
      <c r="F78" s="148"/>
      <c r="G78" s="148"/>
      <c r="H78" s="83"/>
      <c r="I78" s="148"/>
      <c r="J78" s="148"/>
      <c r="K78" s="165">
        <v>40000</v>
      </c>
    </row>
    <row r="79" spans="1:11" x14ac:dyDescent="0.3">
      <c r="A79" s="173"/>
      <c r="B79" s="89">
        <v>33</v>
      </c>
      <c r="C79" s="82" t="s">
        <v>335</v>
      </c>
      <c r="D79" s="81"/>
      <c r="E79" s="81"/>
      <c r="F79" s="148"/>
      <c r="G79" s="148"/>
      <c r="H79" s="83"/>
      <c r="I79" s="148"/>
      <c r="J79" s="148"/>
      <c r="K79" s="165">
        <v>195000</v>
      </c>
    </row>
    <row r="80" spans="1:11" x14ac:dyDescent="0.3">
      <c r="A80" s="173"/>
      <c r="B80" s="89">
        <v>34</v>
      </c>
      <c r="C80" s="82" t="s">
        <v>336</v>
      </c>
      <c r="D80" s="81"/>
      <c r="E80" s="81"/>
      <c r="F80" s="148"/>
      <c r="G80" s="148"/>
      <c r="H80" s="83"/>
      <c r="I80" s="148"/>
      <c r="J80" s="148"/>
      <c r="K80" s="165">
        <v>80000</v>
      </c>
    </row>
    <row r="81" spans="1:11" x14ac:dyDescent="0.3">
      <c r="A81" s="173"/>
      <c r="B81" s="89">
        <v>35</v>
      </c>
      <c r="C81" s="82" t="s">
        <v>337</v>
      </c>
      <c r="D81" s="81"/>
      <c r="E81" s="81"/>
      <c r="F81" s="148"/>
      <c r="G81" s="148"/>
      <c r="H81" s="83"/>
      <c r="I81" s="148"/>
      <c r="J81" s="148"/>
      <c r="K81" s="165">
        <v>80000</v>
      </c>
    </row>
    <row r="82" spans="1:11" ht="14.4" thickBot="1" x14ac:dyDescent="0.35">
      <c r="A82" s="173"/>
      <c r="B82" s="89">
        <v>36</v>
      </c>
      <c r="C82" s="82" t="s">
        <v>338</v>
      </c>
      <c r="D82" s="81"/>
      <c r="E82" s="81"/>
      <c r="F82" s="148"/>
      <c r="G82" s="148"/>
      <c r="H82" s="83"/>
      <c r="I82" s="148"/>
      <c r="J82" s="148"/>
      <c r="K82" s="165">
        <v>80000</v>
      </c>
    </row>
    <row r="83" spans="1:11" ht="14.4" thickBot="1" x14ac:dyDescent="0.35">
      <c r="A83" s="157" t="s">
        <v>249</v>
      </c>
      <c r="B83" s="102"/>
      <c r="C83" s="114" t="s">
        <v>147</v>
      </c>
      <c r="D83" s="104">
        <f>SUM(D84:D96)</f>
        <v>862350.94</v>
      </c>
      <c r="E83" s="104">
        <f>SUM(E84:E96)</f>
        <v>295116.98</v>
      </c>
      <c r="F83" s="158">
        <f>SUM(F84:F96)</f>
        <v>1162602.2933333332</v>
      </c>
      <c r="G83" s="158">
        <f>SUM(G84:G96)</f>
        <v>1158800</v>
      </c>
      <c r="H83" s="158">
        <f>SUM(H84:H96)</f>
        <v>655.54659868822409</v>
      </c>
      <c r="I83" s="158">
        <f>SUM(I84:I100)</f>
        <v>1294000</v>
      </c>
      <c r="J83" s="158">
        <f>SUM(J84:J100)</f>
        <v>1228748.21</v>
      </c>
      <c r="K83" s="172">
        <f>SUM(K84:K100)</f>
        <v>1628000</v>
      </c>
    </row>
    <row r="84" spans="1:11" x14ac:dyDescent="0.3">
      <c r="A84" s="143"/>
      <c r="B84" s="118">
        <v>1</v>
      </c>
      <c r="C84" s="111" t="s">
        <v>197</v>
      </c>
      <c r="D84" s="113">
        <v>81039.63</v>
      </c>
      <c r="E84" s="113">
        <f>D84/9*3</f>
        <v>27013.21</v>
      </c>
      <c r="F84" s="144">
        <f>D84+E84</f>
        <v>108052.84</v>
      </c>
      <c r="G84" s="144">
        <v>15000</v>
      </c>
      <c r="H84" s="101">
        <f>G84/F84*100</f>
        <v>13.882096944420896</v>
      </c>
      <c r="I84" s="144">
        <v>14000</v>
      </c>
      <c r="J84" s="144">
        <v>8118</v>
      </c>
      <c r="K84" s="164">
        <v>10000</v>
      </c>
    </row>
    <row r="85" spans="1:11" x14ac:dyDescent="0.3">
      <c r="A85" s="147"/>
      <c r="B85" s="87">
        <v>2</v>
      </c>
      <c r="C85" s="82" t="s">
        <v>196</v>
      </c>
      <c r="D85" s="81"/>
      <c r="E85" s="81"/>
      <c r="F85" s="148"/>
      <c r="G85" s="148">
        <v>65000</v>
      </c>
      <c r="H85" s="83"/>
      <c r="I85" s="148">
        <v>50000</v>
      </c>
      <c r="J85" s="148">
        <v>41453.32</v>
      </c>
      <c r="K85" s="165">
        <v>50000</v>
      </c>
    </row>
    <row r="86" spans="1:11" x14ac:dyDescent="0.3">
      <c r="A86" s="147"/>
      <c r="B86" s="87">
        <v>3</v>
      </c>
      <c r="C86" s="82" t="s">
        <v>200</v>
      </c>
      <c r="D86" s="81"/>
      <c r="E86" s="81"/>
      <c r="F86" s="148"/>
      <c r="G86" s="148">
        <v>30000</v>
      </c>
      <c r="H86" s="83"/>
      <c r="I86" s="148">
        <v>10000</v>
      </c>
      <c r="J86" s="148">
        <v>4787.7</v>
      </c>
      <c r="K86" s="165">
        <v>10000</v>
      </c>
    </row>
    <row r="87" spans="1:11" x14ac:dyDescent="0.3">
      <c r="A87" s="147"/>
      <c r="B87" s="87">
        <v>4</v>
      </c>
      <c r="C87" s="82" t="s">
        <v>277</v>
      </c>
      <c r="D87" s="81">
        <v>40783.78</v>
      </c>
      <c r="E87" s="81">
        <f t="shared" ref="E87:E90" si="3">D87/9*3</f>
        <v>13594.593333333334</v>
      </c>
      <c r="F87" s="148">
        <v>61754.44</v>
      </c>
      <c r="G87" s="148">
        <v>40000</v>
      </c>
      <c r="H87" s="83">
        <f t="shared" ref="H87:H92" si="4">G87/F87*100</f>
        <v>64.772670596640509</v>
      </c>
      <c r="I87" s="148">
        <v>75000</v>
      </c>
      <c r="J87" s="148">
        <v>71111.34</v>
      </c>
      <c r="K87" s="165">
        <v>60000</v>
      </c>
    </row>
    <row r="88" spans="1:11" x14ac:dyDescent="0.3">
      <c r="A88" s="147"/>
      <c r="B88" s="87">
        <v>5</v>
      </c>
      <c r="C88" s="82" t="s">
        <v>23</v>
      </c>
      <c r="D88" s="81">
        <v>46662.84</v>
      </c>
      <c r="E88" s="81">
        <f t="shared" si="3"/>
        <v>15554.279999999999</v>
      </c>
      <c r="F88" s="148">
        <f>D88+E88</f>
        <v>62217.119999999995</v>
      </c>
      <c r="G88" s="148">
        <v>60000</v>
      </c>
      <c r="H88" s="83">
        <f t="shared" si="4"/>
        <v>96.436479219867465</v>
      </c>
      <c r="I88" s="148">
        <v>65000</v>
      </c>
      <c r="J88" s="148">
        <v>60080.83</v>
      </c>
      <c r="K88" s="165">
        <v>65000</v>
      </c>
    </row>
    <row r="89" spans="1:11" x14ac:dyDescent="0.3">
      <c r="A89" s="147"/>
      <c r="B89" s="87">
        <v>6</v>
      </c>
      <c r="C89" s="82" t="s">
        <v>21</v>
      </c>
      <c r="D89" s="81">
        <v>19329.52</v>
      </c>
      <c r="E89" s="81">
        <f t="shared" si="3"/>
        <v>6443.1733333333341</v>
      </c>
      <c r="F89" s="148">
        <f>D89+E89</f>
        <v>25772.693333333336</v>
      </c>
      <c r="G89" s="148">
        <v>26000</v>
      </c>
      <c r="H89" s="83">
        <f t="shared" si="4"/>
        <v>100.88196706384845</v>
      </c>
      <c r="I89" s="148">
        <v>30000</v>
      </c>
      <c r="J89" s="148">
        <v>24195.91</v>
      </c>
      <c r="K89" s="165">
        <v>95000</v>
      </c>
    </row>
    <row r="90" spans="1:11" x14ac:dyDescent="0.3">
      <c r="A90" s="147"/>
      <c r="B90" s="87">
        <v>7</v>
      </c>
      <c r="C90" s="82" t="s">
        <v>206</v>
      </c>
      <c r="D90" s="81">
        <v>19903.57</v>
      </c>
      <c r="E90" s="81">
        <f t="shared" si="3"/>
        <v>6634.5233333333335</v>
      </c>
      <c r="F90" s="148">
        <v>19903.57</v>
      </c>
      <c r="G90" s="148">
        <v>15000</v>
      </c>
      <c r="H90" s="83">
        <f t="shared" si="4"/>
        <v>75.36336446175234</v>
      </c>
      <c r="I90" s="148">
        <v>30000</v>
      </c>
      <c r="J90" s="148">
        <v>27808.74</v>
      </c>
      <c r="K90" s="165">
        <v>10000</v>
      </c>
    </row>
    <row r="91" spans="1:11" x14ac:dyDescent="0.3">
      <c r="A91" s="147"/>
      <c r="B91" s="87">
        <v>8</v>
      </c>
      <c r="C91" s="82" t="s">
        <v>267</v>
      </c>
      <c r="D91" s="81"/>
      <c r="E91" s="81"/>
      <c r="F91" s="148"/>
      <c r="G91" s="148"/>
      <c r="H91" s="83"/>
      <c r="I91" s="148"/>
      <c r="J91" s="148"/>
      <c r="K91" s="165">
        <f>30000+30000+20000+60000+95000</f>
        <v>235000</v>
      </c>
    </row>
    <row r="92" spans="1:11" x14ac:dyDescent="0.3">
      <c r="A92" s="173"/>
      <c r="B92" s="87">
        <v>9</v>
      </c>
      <c r="C92" s="82" t="s">
        <v>184</v>
      </c>
      <c r="D92" s="81"/>
      <c r="E92" s="81"/>
      <c r="F92" s="148">
        <v>28554.3</v>
      </c>
      <c r="G92" s="148">
        <v>29000</v>
      </c>
      <c r="H92" s="83">
        <f t="shared" si="4"/>
        <v>101.56088575100772</v>
      </c>
      <c r="I92" s="148">
        <v>20000</v>
      </c>
      <c r="J92" s="148">
        <v>19220</v>
      </c>
      <c r="K92" s="165">
        <v>25000</v>
      </c>
    </row>
    <row r="93" spans="1:11" ht="17.399999999999999" customHeight="1" x14ac:dyDescent="0.3">
      <c r="A93" s="173"/>
      <c r="B93" s="87">
        <v>10</v>
      </c>
      <c r="C93" s="82" t="s">
        <v>146</v>
      </c>
      <c r="D93" s="81">
        <v>653781.6</v>
      </c>
      <c r="E93" s="81">
        <f>D93/9*3</f>
        <v>217927.19999999998</v>
      </c>
      <c r="F93" s="148">
        <v>847547.33</v>
      </c>
      <c r="G93" s="148">
        <v>870000</v>
      </c>
      <c r="H93" s="83">
        <f>G93/F93*100</f>
        <v>102.6491346506867</v>
      </c>
      <c r="I93" s="148">
        <v>950000</v>
      </c>
      <c r="J93" s="148">
        <f>116157.95+785780.74+34981.68</f>
        <v>936920.37</v>
      </c>
      <c r="K93" s="165">
        <v>800000</v>
      </c>
    </row>
    <row r="94" spans="1:11" ht="17.399999999999999" customHeight="1" x14ac:dyDescent="0.3">
      <c r="A94" s="173"/>
      <c r="B94" s="129" t="s">
        <v>340</v>
      </c>
      <c r="C94" s="82" t="s">
        <v>341</v>
      </c>
      <c r="D94" s="81"/>
      <c r="E94" s="81"/>
      <c r="F94" s="148"/>
      <c r="G94" s="148"/>
      <c r="H94" s="83"/>
      <c r="I94" s="148"/>
      <c r="J94" s="148"/>
      <c r="K94" s="165">
        <v>52000</v>
      </c>
    </row>
    <row r="95" spans="1:11" x14ac:dyDescent="0.3">
      <c r="A95" s="147"/>
      <c r="B95" s="87">
        <v>11</v>
      </c>
      <c r="C95" s="82" t="s">
        <v>344</v>
      </c>
      <c r="D95" s="81"/>
      <c r="E95" s="81"/>
      <c r="F95" s="148"/>
      <c r="G95" s="148"/>
      <c r="H95" s="83"/>
      <c r="I95" s="148"/>
      <c r="J95" s="148"/>
      <c r="K95" s="165">
        <f>18000+65000</f>
        <v>83000</v>
      </c>
    </row>
    <row r="96" spans="1:11" x14ac:dyDescent="0.3">
      <c r="A96" s="147"/>
      <c r="B96" s="87">
        <v>12</v>
      </c>
      <c r="C96" s="82" t="s">
        <v>228</v>
      </c>
      <c r="D96" s="81">
        <v>850</v>
      </c>
      <c r="E96" s="81">
        <v>7950</v>
      </c>
      <c r="F96" s="148">
        <f>D96+E96</f>
        <v>8800</v>
      </c>
      <c r="G96" s="148">
        <f>F96</f>
        <v>8800</v>
      </c>
      <c r="H96" s="83">
        <f>G96/F96*100</f>
        <v>100</v>
      </c>
      <c r="I96" s="148">
        <v>20000</v>
      </c>
      <c r="J96" s="148">
        <v>17952</v>
      </c>
      <c r="K96" s="165">
        <v>18000</v>
      </c>
    </row>
    <row r="97" spans="1:11" x14ac:dyDescent="0.3">
      <c r="A97" s="147"/>
      <c r="B97" s="87">
        <v>13</v>
      </c>
      <c r="C97" s="82" t="s">
        <v>327</v>
      </c>
      <c r="D97" s="81"/>
      <c r="E97" s="81"/>
      <c r="F97" s="148"/>
      <c r="G97" s="148"/>
      <c r="H97" s="83"/>
      <c r="I97" s="148"/>
      <c r="J97" s="148"/>
      <c r="K97" s="165">
        <v>25000</v>
      </c>
    </row>
    <row r="98" spans="1:11" ht="15" customHeight="1" x14ac:dyDescent="0.3">
      <c r="A98" s="147"/>
      <c r="B98" s="87">
        <v>14</v>
      </c>
      <c r="C98" s="82" t="s">
        <v>210</v>
      </c>
      <c r="D98" s="81"/>
      <c r="E98" s="81"/>
      <c r="F98" s="148"/>
      <c r="G98" s="148"/>
      <c r="H98" s="83"/>
      <c r="I98" s="148">
        <v>5000</v>
      </c>
      <c r="J98" s="148"/>
      <c r="K98" s="165">
        <v>15000</v>
      </c>
    </row>
    <row r="99" spans="1:11" ht="15" customHeight="1" x14ac:dyDescent="0.3">
      <c r="A99" s="153"/>
      <c r="B99" s="130" t="s">
        <v>345</v>
      </c>
      <c r="C99" s="116" t="s">
        <v>346</v>
      </c>
      <c r="D99" s="117"/>
      <c r="E99" s="117"/>
      <c r="F99" s="154"/>
      <c r="G99" s="154"/>
      <c r="H99" s="98"/>
      <c r="I99" s="154"/>
      <c r="J99" s="154"/>
      <c r="K99" s="166">
        <v>50000</v>
      </c>
    </row>
    <row r="100" spans="1:11" ht="14.4" thickBot="1" x14ac:dyDescent="0.35">
      <c r="A100" s="153"/>
      <c r="B100" s="119">
        <v>15</v>
      </c>
      <c r="C100" s="116" t="s">
        <v>229</v>
      </c>
      <c r="D100" s="117"/>
      <c r="E100" s="117"/>
      <c r="F100" s="154"/>
      <c r="G100" s="154"/>
      <c r="H100" s="98"/>
      <c r="I100" s="154">
        <v>25000</v>
      </c>
      <c r="J100" s="154">
        <v>17100</v>
      </c>
      <c r="K100" s="166">
        <v>25000</v>
      </c>
    </row>
    <row r="101" spans="1:11" ht="14.4" thickBot="1" x14ac:dyDescent="0.35">
      <c r="A101" s="157" t="s">
        <v>250</v>
      </c>
      <c r="B101" s="120">
        <v>17</v>
      </c>
      <c r="C101" s="114" t="s">
        <v>148</v>
      </c>
      <c r="D101" s="104">
        <f>SUM(D104:D135)</f>
        <v>569282.14</v>
      </c>
      <c r="E101" s="104">
        <f>SUM(E104:E135)</f>
        <v>156427.38</v>
      </c>
      <c r="F101" s="158">
        <f>SUM(F104:F135)</f>
        <v>1483620.9933333332</v>
      </c>
      <c r="G101" s="158">
        <f>SUM(G104:G135)</f>
        <v>1151600</v>
      </c>
      <c r="H101" s="105">
        <f t="shared" ref="H101:H111" si="5">G101/F101*100</f>
        <v>77.620902182884095</v>
      </c>
      <c r="I101" s="158">
        <f>SUM(I104:I136)</f>
        <v>1678500</v>
      </c>
      <c r="J101" s="158">
        <f>SUM(J104:J136)</f>
        <v>1472755.7600000002</v>
      </c>
      <c r="K101" s="172">
        <f>SUM(K102:K139)</f>
        <v>2800800</v>
      </c>
    </row>
    <row r="102" spans="1:11" x14ac:dyDescent="0.3">
      <c r="A102" s="174"/>
      <c r="B102" s="118">
        <v>18</v>
      </c>
      <c r="C102" s="111" t="s">
        <v>328</v>
      </c>
      <c r="D102" s="113"/>
      <c r="E102" s="113"/>
      <c r="F102" s="144"/>
      <c r="G102" s="144"/>
      <c r="H102" s="101"/>
      <c r="I102" s="144"/>
      <c r="J102" s="144"/>
      <c r="K102" s="164">
        <v>75000</v>
      </c>
    </row>
    <row r="103" spans="1:11" x14ac:dyDescent="0.3">
      <c r="A103" s="175"/>
      <c r="B103" s="118">
        <v>19</v>
      </c>
      <c r="C103" s="116" t="s">
        <v>292</v>
      </c>
      <c r="D103" s="117"/>
      <c r="E103" s="117"/>
      <c r="F103" s="154"/>
      <c r="G103" s="154"/>
      <c r="H103" s="98"/>
      <c r="I103" s="154"/>
      <c r="J103" s="154"/>
      <c r="K103" s="166">
        <v>111000</v>
      </c>
    </row>
    <row r="104" spans="1:11" x14ac:dyDescent="0.3">
      <c r="A104" s="147"/>
      <c r="B104" s="118">
        <v>20</v>
      </c>
      <c r="C104" s="82" t="s">
        <v>290</v>
      </c>
      <c r="D104" s="81">
        <v>4526.63</v>
      </c>
      <c r="E104" s="81">
        <f>D104/9*3</f>
        <v>1508.8766666666668</v>
      </c>
      <c r="F104" s="148">
        <f>D104+E104</f>
        <v>6035.5066666666671</v>
      </c>
      <c r="G104" s="148">
        <v>7500</v>
      </c>
      <c r="H104" s="83">
        <f t="shared" si="5"/>
        <v>124.26462953676354</v>
      </c>
      <c r="I104" s="148">
        <v>15000</v>
      </c>
      <c r="J104" s="148">
        <v>15465.35</v>
      </c>
      <c r="K104" s="165">
        <v>15000</v>
      </c>
    </row>
    <row r="105" spans="1:11" x14ac:dyDescent="0.3">
      <c r="A105" s="147"/>
      <c r="B105" s="118">
        <v>21</v>
      </c>
      <c r="C105" s="82" t="s">
        <v>234</v>
      </c>
      <c r="D105" s="81">
        <v>63275.4</v>
      </c>
      <c r="E105" s="81">
        <f>D105/9*3</f>
        <v>21091.800000000003</v>
      </c>
      <c r="F105" s="148">
        <v>14367.2</v>
      </c>
      <c r="G105" s="148">
        <v>15000</v>
      </c>
      <c r="H105" s="83">
        <f t="shared" si="5"/>
        <v>104.40447686396791</v>
      </c>
      <c r="I105" s="148">
        <v>119000</v>
      </c>
      <c r="J105" s="148">
        <f>104473.39+3156.95</f>
        <v>107630.34</v>
      </c>
      <c r="K105" s="165">
        <v>95000</v>
      </c>
    </row>
    <row r="106" spans="1:11" x14ac:dyDescent="0.3">
      <c r="A106" s="147"/>
      <c r="B106" s="118">
        <v>22</v>
      </c>
      <c r="C106" s="82" t="s">
        <v>268</v>
      </c>
      <c r="D106" s="81">
        <v>10250</v>
      </c>
      <c r="E106" s="81">
        <f>D106/9*3</f>
        <v>3416.666666666667</v>
      </c>
      <c r="F106" s="148">
        <f>D106+E106</f>
        <v>13666.666666666668</v>
      </c>
      <c r="G106" s="148">
        <v>10000</v>
      </c>
      <c r="H106" s="83">
        <f t="shared" si="5"/>
        <v>73.170731707317074</v>
      </c>
      <c r="I106" s="148">
        <v>65000</v>
      </c>
      <c r="J106" s="148">
        <v>62400</v>
      </c>
      <c r="K106" s="165">
        <v>85000</v>
      </c>
    </row>
    <row r="107" spans="1:11" x14ac:dyDescent="0.3">
      <c r="A107" s="176"/>
      <c r="B107" s="118">
        <v>23</v>
      </c>
      <c r="C107" s="82" t="s">
        <v>269</v>
      </c>
      <c r="D107" s="81"/>
      <c r="E107" s="81"/>
      <c r="F107" s="148"/>
      <c r="G107" s="148"/>
      <c r="H107" s="83"/>
      <c r="I107" s="148"/>
      <c r="J107" s="148"/>
      <c r="K107" s="165">
        <v>150000</v>
      </c>
    </row>
    <row r="108" spans="1:11" x14ac:dyDescent="0.3">
      <c r="A108" s="176"/>
      <c r="B108" s="128" t="s">
        <v>332</v>
      </c>
      <c r="C108" s="82" t="s">
        <v>333</v>
      </c>
      <c r="D108" s="81"/>
      <c r="E108" s="81"/>
      <c r="F108" s="148"/>
      <c r="G108" s="148"/>
      <c r="H108" s="83"/>
      <c r="I108" s="148"/>
      <c r="J108" s="148"/>
      <c r="K108" s="165">
        <v>50000</v>
      </c>
    </row>
    <row r="109" spans="1:11" x14ac:dyDescent="0.3">
      <c r="A109" s="176"/>
      <c r="B109" s="118">
        <v>24</v>
      </c>
      <c r="C109" s="82" t="s">
        <v>263</v>
      </c>
      <c r="D109" s="81"/>
      <c r="E109" s="81"/>
      <c r="F109" s="148"/>
      <c r="G109" s="148"/>
      <c r="H109" s="83"/>
      <c r="I109" s="148"/>
      <c r="J109" s="148"/>
      <c r="K109" s="165">
        <v>15000</v>
      </c>
    </row>
    <row r="110" spans="1:11" x14ac:dyDescent="0.3">
      <c r="A110" s="147"/>
      <c r="B110" s="118">
        <v>25</v>
      </c>
      <c r="C110" s="82" t="s">
        <v>29</v>
      </c>
      <c r="D110" s="81">
        <v>7880</v>
      </c>
      <c r="E110" s="81">
        <f>D110/9*3</f>
        <v>2626.6666666666665</v>
      </c>
      <c r="F110" s="148">
        <v>25066.91</v>
      </c>
      <c r="G110" s="148">
        <v>25000</v>
      </c>
      <c r="H110" s="83">
        <f t="shared" si="5"/>
        <v>99.733074399676696</v>
      </c>
      <c r="I110" s="148">
        <v>30000</v>
      </c>
      <c r="J110" s="148">
        <v>17890</v>
      </c>
      <c r="K110" s="165">
        <v>25000</v>
      </c>
    </row>
    <row r="111" spans="1:11" ht="16.2" customHeight="1" x14ac:dyDescent="0.3">
      <c r="A111" s="147"/>
      <c r="B111" s="118">
        <v>26</v>
      </c>
      <c r="C111" s="82" t="s">
        <v>270</v>
      </c>
      <c r="D111" s="81">
        <v>100000</v>
      </c>
      <c r="E111" s="81">
        <v>0</v>
      </c>
      <c r="F111" s="148">
        <f>D111+E111</f>
        <v>100000</v>
      </c>
      <c r="G111" s="148">
        <f>F111</f>
        <v>100000</v>
      </c>
      <c r="H111" s="83">
        <f t="shared" si="5"/>
        <v>100</v>
      </c>
      <c r="I111" s="148">
        <v>55000</v>
      </c>
      <c r="J111" s="148">
        <f>25757.71+23830.55+3150.5</f>
        <v>52738.759999999995</v>
      </c>
      <c r="K111" s="165">
        <v>92000</v>
      </c>
    </row>
    <row r="112" spans="1:11" x14ac:dyDescent="0.3">
      <c r="A112" s="147"/>
      <c r="B112" s="118">
        <v>27</v>
      </c>
      <c r="C112" s="82" t="s">
        <v>271</v>
      </c>
      <c r="D112" s="81"/>
      <c r="E112" s="81"/>
      <c r="F112" s="148"/>
      <c r="G112" s="148"/>
      <c r="H112" s="83"/>
      <c r="I112" s="148"/>
      <c r="J112" s="148"/>
      <c r="K112" s="165">
        <v>35000</v>
      </c>
    </row>
    <row r="113" spans="1:11" x14ac:dyDescent="0.3">
      <c r="A113" s="147"/>
      <c r="B113" s="118">
        <v>28</v>
      </c>
      <c r="C113" s="82" t="s">
        <v>293</v>
      </c>
      <c r="D113" s="81"/>
      <c r="E113" s="81"/>
      <c r="F113" s="148"/>
      <c r="G113" s="148"/>
      <c r="H113" s="83"/>
      <c r="I113" s="148"/>
      <c r="J113" s="148"/>
      <c r="K113" s="165">
        <v>75000</v>
      </c>
    </row>
    <row r="114" spans="1:11" x14ac:dyDescent="0.3">
      <c r="A114" s="147"/>
      <c r="B114" s="118">
        <v>29</v>
      </c>
      <c r="C114" s="82" t="s">
        <v>198</v>
      </c>
      <c r="D114" s="81">
        <v>209420.97</v>
      </c>
      <c r="E114" s="81">
        <f>D114/9*3</f>
        <v>69806.989999999991</v>
      </c>
      <c r="F114" s="148">
        <v>314771.59000000003</v>
      </c>
      <c r="G114" s="148">
        <v>320000</v>
      </c>
      <c r="H114" s="83">
        <f>G114/F114*100</f>
        <v>101.66101712038243</v>
      </c>
      <c r="I114" s="148">
        <v>600000</v>
      </c>
      <c r="J114" s="148">
        <v>563350.85</v>
      </c>
      <c r="K114" s="165">
        <v>650000</v>
      </c>
    </row>
    <row r="115" spans="1:11" x14ac:dyDescent="0.3">
      <c r="A115" s="147"/>
      <c r="B115" s="118">
        <v>30</v>
      </c>
      <c r="C115" s="82" t="s">
        <v>175</v>
      </c>
      <c r="D115" s="81">
        <v>56181.69</v>
      </c>
      <c r="E115" s="81">
        <f>D115/9*3</f>
        <v>18727.23</v>
      </c>
      <c r="F115" s="148">
        <f>D115+E115</f>
        <v>74908.92</v>
      </c>
      <c r="G115" s="148">
        <v>75000</v>
      </c>
      <c r="H115" s="83">
        <f>G115/F115*100</f>
        <v>100.1215876560495</v>
      </c>
      <c r="I115" s="148">
        <v>123000</v>
      </c>
      <c r="J115" s="148">
        <v>122952.88</v>
      </c>
      <c r="K115" s="165">
        <v>130000</v>
      </c>
    </row>
    <row r="116" spans="1:11" x14ac:dyDescent="0.3">
      <c r="A116" s="147"/>
      <c r="B116" s="118">
        <v>31</v>
      </c>
      <c r="C116" s="82" t="s">
        <v>174</v>
      </c>
      <c r="D116" s="81">
        <v>10539.45</v>
      </c>
      <c r="E116" s="81">
        <f>D116/9*3</f>
        <v>3513.1500000000005</v>
      </c>
      <c r="F116" s="148">
        <f>D116+E116</f>
        <v>14052.600000000002</v>
      </c>
      <c r="G116" s="148">
        <v>14100</v>
      </c>
      <c r="H116" s="83">
        <f>G116/F116*100</f>
        <v>100.33730412877331</v>
      </c>
      <c r="I116" s="148">
        <v>15500</v>
      </c>
      <c r="J116" s="148">
        <v>9026.6299999999992</v>
      </c>
      <c r="K116" s="165">
        <v>15000</v>
      </c>
    </row>
    <row r="117" spans="1:11" x14ac:dyDescent="0.3">
      <c r="A117" s="147"/>
      <c r="B117" s="118">
        <v>32</v>
      </c>
      <c r="C117" s="82" t="s">
        <v>199</v>
      </c>
      <c r="D117" s="81">
        <v>42132</v>
      </c>
      <c r="E117" s="81">
        <f>D117/9*3</f>
        <v>14044</v>
      </c>
      <c r="F117" s="148">
        <f>D117+E117</f>
        <v>56176</v>
      </c>
      <c r="G117" s="148">
        <v>60000</v>
      </c>
      <c r="H117" s="83">
        <f>G117/F117*100</f>
        <v>106.80717744232413</v>
      </c>
      <c r="I117" s="148">
        <v>75000</v>
      </c>
      <c r="J117" s="148">
        <f>2800+68946.6</f>
        <v>71746.600000000006</v>
      </c>
      <c r="K117" s="165">
        <v>60000</v>
      </c>
    </row>
    <row r="118" spans="1:11" x14ac:dyDescent="0.3">
      <c r="A118" s="147"/>
      <c r="B118" s="118">
        <v>33</v>
      </c>
      <c r="C118" s="82" t="s">
        <v>294</v>
      </c>
      <c r="D118" s="81"/>
      <c r="E118" s="81"/>
      <c r="F118" s="148"/>
      <c r="G118" s="148"/>
      <c r="H118" s="83"/>
      <c r="I118" s="148">
        <v>20000</v>
      </c>
      <c r="J118" s="148">
        <v>17760</v>
      </c>
      <c r="K118" s="165">
        <v>30000</v>
      </c>
    </row>
    <row r="119" spans="1:11" x14ac:dyDescent="0.3">
      <c r="A119" s="147"/>
      <c r="B119" s="118">
        <v>34</v>
      </c>
      <c r="C119" s="82" t="s">
        <v>243</v>
      </c>
      <c r="D119" s="81"/>
      <c r="E119" s="81"/>
      <c r="F119" s="148"/>
      <c r="G119" s="148"/>
      <c r="H119" s="83"/>
      <c r="I119" s="148"/>
      <c r="J119" s="148"/>
      <c r="K119" s="165">
        <v>48000</v>
      </c>
    </row>
    <row r="120" spans="1:11" x14ac:dyDescent="0.3">
      <c r="A120" s="147"/>
      <c r="B120" s="118">
        <v>35</v>
      </c>
      <c r="C120" s="82" t="s">
        <v>300</v>
      </c>
      <c r="D120" s="81"/>
      <c r="E120" s="81"/>
      <c r="F120" s="148"/>
      <c r="G120" s="148"/>
      <c r="H120" s="83"/>
      <c r="I120" s="148"/>
      <c r="J120" s="148"/>
      <c r="K120" s="165">
        <v>12000</v>
      </c>
    </row>
    <row r="121" spans="1:11" x14ac:dyDescent="0.3">
      <c r="A121" s="147"/>
      <c r="B121" s="118">
        <v>36</v>
      </c>
      <c r="C121" s="82" t="s">
        <v>295</v>
      </c>
      <c r="D121" s="81"/>
      <c r="E121" s="81"/>
      <c r="F121" s="148"/>
      <c r="G121" s="148"/>
      <c r="H121" s="83"/>
      <c r="I121" s="148"/>
      <c r="J121" s="148"/>
      <c r="K121" s="165">
        <v>10000</v>
      </c>
    </row>
    <row r="122" spans="1:11" x14ac:dyDescent="0.3">
      <c r="A122" s="147"/>
      <c r="B122" s="118">
        <v>37</v>
      </c>
      <c r="C122" s="82" t="s">
        <v>296</v>
      </c>
      <c r="D122" s="81"/>
      <c r="E122" s="81"/>
      <c r="F122" s="148"/>
      <c r="G122" s="148"/>
      <c r="H122" s="83"/>
      <c r="I122" s="148"/>
      <c r="J122" s="148"/>
      <c r="K122" s="165">
        <v>12000</v>
      </c>
    </row>
    <row r="123" spans="1:11" x14ac:dyDescent="0.3">
      <c r="A123" s="147"/>
      <c r="B123" s="118">
        <v>38</v>
      </c>
      <c r="C123" s="82" t="s">
        <v>298</v>
      </c>
      <c r="D123" s="81"/>
      <c r="E123" s="81"/>
      <c r="F123" s="148"/>
      <c r="G123" s="148"/>
      <c r="H123" s="83"/>
      <c r="I123" s="148"/>
      <c r="J123" s="148"/>
      <c r="K123" s="165">
        <v>12000</v>
      </c>
    </row>
    <row r="124" spans="1:11" x14ac:dyDescent="0.3">
      <c r="A124" s="147"/>
      <c r="B124" s="118">
        <v>39</v>
      </c>
      <c r="C124" s="82" t="s">
        <v>299</v>
      </c>
      <c r="D124" s="81"/>
      <c r="E124" s="81"/>
      <c r="F124" s="148"/>
      <c r="G124" s="148"/>
      <c r="H124" s="83"/>
      <c r="I124" s="148"/>
      <c r="J124" s="148"/>
      <c r="K124" s="165">
        <v>30000</v>
      </c>
    </row>
    <row r="125" spans="1:11" x14ac:dyDescent="0.3">
      <c r="A125" s="147"/>
      <c r="B125" s="118">
        <v>40</v>
      </c>
      <c r="C125" s="82" t="s">
        <v>297</v>
      </c>
      <c r="D125" s="81"/>
      <c r="E125" s="81"/>
      <c r="F125" s="148"/>
      <c r="G125" s="148"/>
      <c r="H125" s="83"/>
      <c r="I125" s="148"/>
      <c r="J125" s="148"/>
      <c r="K125" s="165">
        <v>19800</v>
      </c>
    </row>
    <row r="126" spans="1:11" x14ac:dyDescent="0.3">
      <c r="A126" s="147"/>
      <c r="B126" s="118">
        <v>41</v>
      </c>
      <c r="C126" s="82" t="s">
        <v>330</v>
      </c>
      <c r="D126" s="81"/>
      <c r="E126" s="81"/>
      <c r="F126" s="148"/>
      <c r="G126" s="148"/>
      <c r="H126" s="83"/>
      <c r="I126" s="148">
        <v>40000</v>
      </c>
      <c r="J126" s="148">
        <v>39189</v>
      </c>
      <c r="K126" s="165">
        <v>70000</v>
      </c>
    </row>
    <row r="127" spans="1:11" ht="16.95" customHeight="1" x14ac:dyDescent="0.3">
      <c r="A127" s="147"/>
      <c r="B127" s="118">
        <v>42</v>
      </c>
      <c r="C127" s="82" t="s">
        <v>334</v>
      </c>
      <c r="D127" s="81">
        <v>65076</v>
      </c>
      <c r="E127" s="81">
        <f>D127/9*3</f>
        <v>21692</v>
      </c>
      <c r="F127" s="148">
        <f>D127+E127</f>
        <v>86768</v>
      </c>
      <c r="G127" s="148">
        <v>90000</v>
      </c>
      <c r="H127" s="83">
        <f>G127/F127*100</f>
        <v>103.72487553014938</v>
      </c>
      <c r="I127" s="148">
        <v>69000</v>
      </c>
      <c r="J127" s="148">
        <f>957.62+56732.13+470.54</f>
        <v>58160.29</v>
      </c>
      <c r="K127" s="165">
        <v>75000</v>
      </c>
    </row>
    <row r="128" spans="1:11" x14ac:dyDescent="0.3">
      <c r="A128" s="147"/>
      <c r="B128" s="118">
        <v>43</v>
      </c>
      <c r="C128" s="82" t="s">
        <v>203</v>
      </c>
      <c r="D128" s="81"/>
      <c r="E128" s="81"/>
      <c r="F128" s="148"/>
      <c r="G128" s="148"/>
      <c r="H128" s="83"/>
      <c r="I128" s="148">
        <v>98000</v>
      </c>
      <c r="J128" s="148"/>
      <c r="K128" s="165">
        <v>15000</v>
      </c>
    </row>
    <row r="129" spans="1:11" x14ac:dyDescent="0.3">
      <c r="A129" s="147"/>
      <c r="B129" s="118">
        <v>44</v>
      </c>
      <c r="C129" s="82" t="s">
        <v>261</v>
      </c>
      <c r="D129" s="81"/>
      <c r="E129" s="81"/>
      <c r="F129" s="148"/>
      <c r="G129" s="148"/>
      <c r="H129" s="83"/>
      <c r="I129" s="148"/>
      <c r="J129" s="148"/>
      <c r="K129" s="165">
        <v>98000</v>
      </c>
    </row>
    <row r="130" spans="1:11" x14ac:dyDescent="0.3">
      <c r="A130" s="147"/>
      <c r="B130" s="118">
        <v>45</v>
      </c>
      <c r="C130" s="82" t="s">
        <v>245</v>
      </c>
      <c r="D130" s="81"/>
      <c r="E130" s="81"/>
      <c r="F130" s="148"/>
      <c r="G130" s="148"/>
      <c r="H130" s="83"/>
      <c r="I130" s="148"/>
      <c r="J130" s="148"/>
      <c r="K130" s="165">
        <v>95000</v>
      </c>
    </row>
    <row r="131" spans="1:11" x14ac:dyDescent="0.3">
      <c r="A131" s="147"/>
      <c r="B131" s="118">
        <v>46</v>
      </c>
      <c r="C131" s="82" t="s">
        <v>301</v>
      </c>
      <c r="D131" s="81"/>
      <c r="E131" s="81"/>
      <c r="F131" s="148"/>
      <c r="G131" s="148"/>
      <c r="H131" s="83"/>
      <c r="I131" s="148"/>
      <c r="J131" s="148"/>
      <c r="K131" s="165">
        <v>15000</v>
      </c>
    </row>
    <row r="132" spans="1:11" x14ac:dyDescent="0.3">
      <c r="A132" s="147"/>
      <c r="B132" s="118">
        <v>47</v>
      </c>
      <c r="C132" s="82" t="s">
        <v>244</v>
      </c>
      <c r="D132" s="81"/>
      <c r="E132" s="81"/>
      <c r="F132" s="148">
        <v>777807.6</v>
      </c>
      <c r="G132" s="148">
        <v>435000</v>
      </c>
      <c r="H132" s="83">
        <f>G132/F132*100</f>
        <v>55.926427049568559</v>
      </c>
      <c r="I132" s="148">
        <v>89000</v>
      </c>
      <c r="J132" s="148">
        <v>86083.68</v>
      </c>
      <c r="K132" s="165">
        <v>15000</v>
      </c>
    </row>
    <row r="133" spans="1:11" ht="18" customHeight="1" x14ac:dyDescent="0.3">
      <c r="A133" s="147"/>
      <c r="B133" s="118">
        <v>48</v>
      </c>
      <c r="C133" s="82" t="s">
        <v>36</v>
      </c>
      <c r="D133" s="81"/>
      <c r="E133" s="81"/>
      <c r="F133" s="148"/>
      <c r="G133" s="148"/>
      <c r="H133" s="83"/>
      <c r="I133" s="148">
        <v>65000</v>
      </c>
      <c r="J133" s="148">
        <f>19118.58+7590.07+35652.73</f>
        <v>62361.380000000005</v>
      </c>
      <c r="K133" s="165">
        <v>50000</v>
      </c>
    </row>
    <row r="134" spans="1:11" ht="18" customHeight="1" x14ac:dyDescent="0.3">
      <c r="A134" s="147"/>
      <c r="B134" s="87" t="s">
        <v>331</v>
      </c>
      <c r="C134" s="82" t="s">
        <v>326</v>
      </c>
      <c r="D134" s="81"/>
      <c r="E134" s="81"/>
      <c r="F134" s="148"/>
      <c r="G134" s="148"/>
      <c r="H134" s="83"/>
      <c r="I134" s="148"/>
      <c r="J134" s="148"/>
      <c r="K134" s="165">
        <v>94000</v>
      </c>
    </row>
    <row r="135" spans="1:11" x14ac:dyDescent="0.3">
      <c r="A135" s="147"/>
      <c r="B135" s="87">
        <v>49</v>
      </c>
      <c r="C135" s="82" t="s">
        <v>279</v>
      </c>
      <c r="D135" s="81"/>
      <c r="E135" s="81"/>
      <c r="F135" s="148"/>
      <c r="G135" s="148"/>
      <c r="H135" s="83"/>
      <c r="I135" s="148"/>
      <c r="J135" s="148"/>
      <c r="K135" s="165">
        <v>190000</v>
      </c>
    </row>
    <row r="136" spans="1:11" x14ac:dyDescent="0.3">
      <c r="A136" s="147"/>
      <c r="B136" s="87">
        <v>50</v>
      </c>
      <c r="C136" s="82" t="s">
        <v>34</v>
      </c>
      <c r="D136" s="81"/>
      <c r="E136" s="81"/>
      <c r="F136" s="148"/>
      <c r="G136" s="148"/>
      <c r="H136" s="83"/>
      <c r="I136" s="148">
        <v>200000</v>
      </c>
      <c r="J136" s="148">
        <v>186000</v>
      </c>
      <c r="K136" s="165">
        <v>15000</v>
      </c>
    </row>
    <row r="137" spans="1:11" x14ac:dyDescent="0.3">
      <c r="A137" s="173"/>
      <c r="B137" s="87" t="s">
        <v>342</v>
      </c>
      <c r="C137" s="82" t="s">
        <v>343</v>
      </c>
      <c r="D137" s="81"/>
      <c r="E137" s="81"/>
      <c r="F137" s="148"/>
      <c r="G137" s="148"/>
      <c r="H137" s="83"/>
      <c r="I137" s="148"/>
      <c r="J137" s="148"/>
      <c r="K137" s="165">
        <v>28000</v>
      </c>
    </row>
    <row r="138" spans="1:11" x14ac:dyDescent="0.3">
      <c r="A138" s="173"/>
      <c r="B138" s="87">
        <v>51</v>
      </c>
      <c r="C138" s="116" t="s">
        <v>280</v>
      </c>
      <c r="D138" s="117"/>
      <c r="E138" s="117"/>
      <c r="F138" s="154"/>
      <c r="G138" s="154"/>
      <c r="H138" s="98"/>
      <c r="I138" s="154"/>
      <c r="J138" s="154"/>
      <c r="K138" s="165">
        <v>90000</v>
      </c>
    </row>
    <row r="139" spans="1:11" ht="18" customHeight="1" thickBot="1" x14ac:dyDescent="0.35">
      <c r="A139" s="173"/>
      <c r="B139" s="87">
        <v>52</v>
      </c>
      <c r="C139" s="82" t="s">
        <v>339</v>
      </c>
      <c r="D139" s="81"/>
      <c r="E139" s="81"/>
      <c r="F139" s="148"/>
      <c r="G139" s="148"/>
      <c r="H139" s="83"/>
      <c r="I139" s="148"/>
      <c r="J139" s="148"/>
      <c r="K139" s="165">
        <v>99000</v>
      </c>
    </row>
    <row r="140" spans="1:11" ht="18.600000000000001" customHeight="1" thickBot="1" x14ac:dyDescent="0.35">
      <c r="A140" s="157" t="s">
        <v>251</v>
      </c>
      <c r="B140" s="102"/>
      <c r="C140" s="114" t="s">
        <v>304</v>
      </c>
      <c r="D140" s="104">
        <f>SUM(D141)</f>
        <v>308065.28000000003</v>
      </c>
      <c r="E140" s="104">
        <f>SUM(E141)</f>
        <v>102688.42666666668</v>
      </c>
      <c r="F140" s="158">
        <f>SUM(F141)</f>
        <v>410753.70666666672</v>
      </c>
      <c r="G140" s="158">
        <f>SUM(G141)</f>
        <v>702420.37</v>
      </c>
      <c r="H140" s="158">
        <f>SUM(H141)</f>
        <v>171.00767652232668</v>
      </c>
      <c r="I140" s="158">
        <v>820000</v>
      </c>
      <c r="J140" s="158">
        <f>SUM(J141:J141)</f>
        <v>807445.33000000007</v>
      </c>
      <c r="K140" s="159">
        <f>SUM(K141)</f>
        <v>2775000</v>
      </c>
    </row>
    <row r="141" spans="1:11" ht="14.4" thickBot="1" x14ac:dyDescent="0.35">
      <c r="A141" s="143"/>
      <c r="B141" s="99">
        <v>1</v>
      </c>
      <c r="C141" s="111" t="s">
        <v>230</v>
      </c>
      <c r="D141" s="113">
        <v>308065.28000000003</v>
      </c>
      <c r="E141" s="113">
        <f>D141/9*3</f>
        <v>102688.42666666668</v>
      </c>
      <c r="F141" s="144">
        <f>D141+E141</f>
        <v>410753.70666666672</v>
      </c>
      <c r="G141" s="144">
        <v>702420.37</v>
      </c>
      <c r="H141" s="101">
        <f>G141/F141*100</f>
        <v>171.00767652232668</v>
      </c>
      <c r="I141" s="144">
        <v>820000</v>
      </c>
      <c r="J141" s="144">
        <f>806008.77+1436.56</f>
        <v>807445.33000000007</v>
      </c>
      <c r="K141" s="164">
        <f>2200000+390000+150000+20000+15000</f>
        <v>2775000</v>
      </c>
    </row>
    <row r="142" spans="1:11" ht="15.6" hidden="1" customHeight="1" x14ac:dyDescent="0.3">
      <c r="A142" s="147"/>
      <c r="B142" s="85"/>
      <c r="C142" s="82" t="s">
        <v>288</v>
      </c>
      <c r="D142" s="81"/>
      <c r="E142" s="81"/>
      <c r="F142" s="148"/>
      <c r="G142" s="148"/>
      <c r="H142" s="83"/>
      <c r="I142" s="148"/>
      <c r="J142" s="148"/>
      <c r="K142" s="165">
        <v>0</v>
      </c>
    </row>
    <row r="143" spans="1:11" ht="15.6" hidden="1" customHeight="1" x14ac:dyDescent="0.3">
      <c r="A143" s="147"/>
      <c r="B143" s="89"/>
      <c r="C143" s="82" t="s">
        <v>289</v>
      </c>
      <c r="D143" s="81"/>
      <c r="E143" s="81"/>
      <c r="F143" s="148"/>
      <c r="G143" s="148"/>
      <c r="H143" s="83"/>
      <c r="I143" s="148"/>
      <c r="J143" s="148"/>
      <c r="K143" s="165">
        <v>0</v>
      </c>
    </row>
    <row r="144" spans="1:11" ht="15.6" hidden="1" customHeight="1" x14ac:dyDescent="0.3">
      <c r="A144" s="147"/>
      <c r="B144" s="89"/>
      <c r="C144" s="82" t="s">
        <v>284</v>
      </c>
      <c r="D144" s="81"/>
      <c r="E144" s="81"/>
      <c r="F144" s="148"/>
      <c r="G144" s="148"/>
      <c r="H144" s="83"/>
      <c r="I144" s="148"/>
      <c r="J144" s="148"/>
      <c r="K144" s="165">
        <v>0</v>
      </c>
    </row>
    <row r="145" spans="1:11" ht="15.6" hidden="1" customHeight="1" x14ac:dyDescent="0.3">
      <c r="A145" s="147"/>
      <c r="B145" s="89"/>
      <c r="C145" s="82" t="s">
        <v>285</v>
      </c>
      <c r="D145" s="81"/>
      <c r="E145" s="81"/>
      <c r="F145" s="148"/>
      <c r="G145" s="148"/>
      <c r="H145" s="83"/>
      <c r="I145" s="148"/>
      <c r="J145" s="148"/>
      <c r="K145" s="165">
        <v>0</v>
      </c>
    </row>
    <row r="146" spans="1:11" ht="15.6" hidden="1" customHeight="1" x14ac:dyDescent="0.3">
      <c r="A146" s="147"/>
      <c r="B146" s="89"/>
      <c r="C146" s="82" t="s">
        <v>286</v>
      </c>
      <c r="D146" s="81"/>
      <c r="E146" s="81"/>
      <c r="F146" s="148"/>
      <c r="G146" s="148"/>
      <c r="H146" s="83"/>
      <c r="I146" s="148"/>
      <c r="J146" s="148"/>
      <c r="K146" s="165">
        <v>0</v>
      </c>
    </row>
    <row r="147" spans="1:11" ht="14.4" hidden="1" customHeight="1" thickBot="1" x14ac:dyDescent="0.35">
      <c r="A147" s="153"/>
      <c r="B147" s="115"/>
      <c r="C147" s="116" t="s">
        <v>287</v>
      </c>
      <c r="D147" s="117"/>
      <c r="E147" s="117"/>
      <c r="F147" s="154"/>
      <c r="G147" s="154"/>
      <c r="H147" s="98"/>
      <c r="I147" s="154"/>
      <c r="J147" s="154"/>
      <c r="K147" s="166">
        <v>0</v>
      </c>
    </row>
    <row r="148" spans="1:11" ht="14.4" thickBot="1" x14ac:dyDescent="0.35">
      <c r="A148" s="157" t="s">
        <v>252</v>
      </c>
      <c r="B148" s="109"/>
      <c r="C148" s="114" t="s">
        <v>307</v>
      </c>
      <c r="D148" s="121"/>
      <c r="E148" s="121"/>
      <c r="F148" s="177"/>
      <c r="G148" s="177"/>
      <c r="H148" s="105"/>
      <c r="I148" s="177"/>
      <c r="J148" s="177"/>
      <c r="K148" s="172">
        <f>SUM(K149:K156)</f>
        <v>1550000</v>
      </c>
    </row>
    <row r="149" spans="1:11" x14ac:dyDescent="0.3">
      <c r="A149" s="143"/>
      <c r="B149" s="99">
        <v>1</v>
      </c>
      <c r="C149" s="111" t="s">
        <v>155</v>
      </c>
      <c r="D149" s="113">
        <v>18910</v>
      </c>
      <c r="E149" s="113">
        <f>D149/9*3</f>
        <v>6303.3333333333339</v>
      </c>
      <c r="F149" s="144">
        <f>D149+E149</f>
        <v>25213.333333333336</v>
      </c>
      <c r="G149" s="144">
        <v>25000</v>
      </c>
      <c r="H149" s="101">
        <f>G149/F149*100</f>
        <v>99.153886832363824</v>
      </c>
      <c r="I149" s="144">
        <v>20000</v>
      </c>
      <c r="J149" s="144">
        <v>8245</v>
      </c>
      <c r="K149" s="164">
        <v>35000</v>
      </c>
    </row>
    <row r="150" spans="1:11" x14ac:dyDescent="0.3">
      <c r="A150" s="173"/>
      <c r="B150" s="85">
        <v>2</v>
      </c>
      <c r="C150" s="82" t="s">
        <v>149</v>
      </c>
      <c r="D150" s="81">
        <v>15000</v>
      </c>
      <c r="E150" s="81">
        <f>D150/9*3</f>
        <v>5000</v>
      </c>
      <c r="F150" s="148">
        <v>31172.6</v>
      </c>
      <c r="G150" s="148">
        <v>32000</v>
      </c>
      <c r="H150" s="83">
        <f>G150/F150*100</f>
        <v>102.65425405644702</v>
      </c>
      <c r="I150" s="148">
        <v>40000</v>
      </c>
      <c r="J150" s="148">
        <f>294+2634+6083.63</f>
        <v>9011.630000000001</v>
      </c>
      <c r="K150" s="165">
        <v>40000</v>
      </c>
    </row>
    <row r="151" spans="1:11" x14ac:dyDescent="0.3">
      <c r="A151" s="173"/>
      <c r="B151" s="85">
        <v>3</v>
      </c>
      <c r="C151" s="82" t="s">
        <v>150</v>
      </c>
      <c r="D151" s="81">
        <v>494721.5</v>
      </c>
      <c r="E151" s="81">
        <v>297120.09999999998</v>
      </c>
      <c r="F151" s="148">
        <v>665619</v>
      </c>
      <c r="G151" s="148">
        <v>680000</v>
      </c>
      <c r="H151" s="83">
        <f>G151/F151*100</f>
        <v>102.16054529693412</v>
      </c>
      <c r="I151" s="148">
        <v>620000</v>
      </c>
      <c r="J151" s="148">
        <v>499746</v>
      </c>
      <c r="K151" s="165">
        <v>600000</v>
      </c>
    </row>
    <row r="152" spans="1:11" x14ac:dyDescent="0.3">
      <c r="A152" s="147"/>
      <c r="B152" s="85">
        <v>4</v>
      </c>
      <c r="C152" s="82" t="s">
        <v>278</v>
      </c>
      <c r="D152" s="81"/>
      <c r="E152" s="81"/>
      <c r="F152" s="148"/>
      <c r="G152" s="148"/>
      <c r="H152" s="83"/>
      <c r="I152" s="148"/>
      <c r="J152" s="148"/>
      <c r="K152" s="165">
        <v>30000</v>
      </c>
    </row>
    <row r="153" spans="1:11" x14ac:dyDescent="0.3">
      <c r="A153" s="147"/>
      <c r="B153" s="85">
        <v>5</v>
      </c>
      <c r="C153" s="82" t="s">
        <v>283</v>
      </c>
      <c r="D153" s="81">
        <v>8500</v>
      </c>
      <c r="E153" s="81">
        <f>D153/9*3</f>
        <v>2833.3333333333335</v>
      </c>
      <c r="F153" s="148">
        <v>21024</v>
      </c>
      <c r="G153" s="148">
        <v>21000</v>
      </c>
      <c r="H153" s="83">
        <f>G153/F153*100</f>
        <v>99.885844748858446</v>
      </c>
      <c r="I153" s="148">
        <v>35000</v>
      </c>
      <c r="J153" s="148">
        <f>8540+26252</f>
        <v>34792</v>
      </c>
      <c r="K153" s="165">
        <v>65000</v>
      </c>
    </row>
    <row r="154" spans="1:11" x14ac:dyDescent="0.3">
      <c r="A154" s="147"/>
      <c r="B154" s="85">
        <v>6</v>
      </c>
      <c r="C154" s="82" t="s">
        <v>202</v>
      </c>
      <c r="D154" s="81">
        <v>39500</v>
      </c>
      <c r="E154" s="81">
        <f>D154/9*3</f>
        <v>13166.666666666666</v>
      </c>
      <c r="F154" s="148">
        <v>59835.6</v>
      </c>
      <c r="G154" s="148">
        <v>60000</v>
      </c>
      <c r="H154" s="83">
        <f>G154/F154*100</f>
        <v>100.2747528227343</v>
      </c>
      <c r="I154" s="148">
        <v>86000</v>
      </c>
      <c r="J154" s="148">
        <f>21000+9933.8+55000</f>
        <v>85933.8</v>
      </c>
      <c r="K154" s="165">
        <v>80000</v>
      </c>
    </row>
    <row r="155" spans="1:11" x14ac:dyDescent="0.3">
      <c r="A155" s="147"/>
      <c r="B155" s="85">
        <v>7</v>
      </c>
      <c r="C155" s="82" t="s">
        <v>151</v>
      </c>
      <c r="D155" s="81">
        <v>19863</v>
      </c>
      <c r="E155" s="81">
        <f>D155/9*3</f>
        <v>6621</v>
      </c>
      <c r="F155" s="148">
        <f>D155+E155</f>
        <v>26484</v>
      </c>
      <c r="G155" s="148">
        <v>28000</v>
      </c>
      <c r="H155" s="83">
        <f>G155/F155*100</f>
        <v>105.72421084428333</v>
      </c>
      <c r="I155" s="148">
        <v>120000</v>
      </c>
      <c r="J155" s="148">
        <f>40000+76965.22</f>
        <v>116965.22</v>
      </c>
      <c r="K155" s="165">
        <v>200000</v>
      </c>
    </row>
    <row r="156" spans="1:11" ht="14.4" thickBot="1" x14ac:dyDescent="0.35">
      <c r="A156" s="147"/>
      <c r="B156" s="85">
        <v>8</v>
      </c>
      <c r="C156" s="82" t="s">
        <v>221</v>
      </c>
      <c r="D156" s="81"/>
      <c r="E156" s="81"/>
      <c r="F156" s="148"/>
      <c r="G156" s="148"/>
      <c r="H156" s="83"/>
      <c r="I156" s="148">
        <v>210000</v>
      </c>
      <c r="J156" s="148">
        <v>205600</v>
      </c>
      <c r="K156" s="165">
        <v>500000</v>
      </c>
    </row>
    <row r="157" spans="1:11" s="88" customFormat="1" ht="19.95" customHeight="1" thickBot="1" x14ac:dyDescent="0.35">
      <c r="A157" s="157" t="s">
        <v>253</v>
      </c>
      <c r="B157" s="122"/>
      <c r="C157" s="114" t="s">
        <v>305</v>
      </c>
      <c r="D157" s="104"/>
      <c r="E157" s="104"/>
      <c r="F157" s="158"/>
      <c r="G157" s="158"/>
      <c r="H157" s="123"/>
      <c r="I157" s="158"/>
      <c r="J157" s="158"/>
      <c r="K157" s="172">
        <f>SUM(K158)</f>
        <v>500000</v>
      </c>
    </row>
    <row r="158" spans="1:11" ht="14.4" thickBot="1" x14ac:dyDescent="0.35">
      <c r="A158" s="160"/>
      <c r="B158" s="106">
        <v>1</v>
      </c>
      <c r="C158" s="124" t="s">
        <v>264</v>
      </c>
      <c r="D158" s="125"/>
      <c r="E158" s="125"/>
      <c r="F158" s="161"/>
      <c r="G158" s="161"/>
      <c r="H158" s="108"/>
      <c r="I158" s="161"/>
      <c r="J158" s="161"/>
      <c r="K158" s="163">
        <v>500000</v>
      </c>
    </row>
    <row r="159" spans="1:11" ht="21" customHeight="1" thickBot="1" x14ac:dyDescent="0.35">
      <c r="A159" s="157" t="s">
        <v>254</v>
      </c>
      <c r="B159" s="102"/>
      <c r="C159" s="114" t="s">
        <v>306</v>
      </c>
      <c r="D159" s="104">
        <f t="shared" ref="D159:K159" si="6">SUM(D160:D167)</f>
        <v>196971.58000000002</v>
      </c>
      <c r="E159" s="104">
        <f t="shared" si="6"/>
        <v>16508.556666666667</v>
      </c>
      <c r="F159" s="158">
        <f t="shared" si="6"/>
        <v>269135.1766666667</v>
      </c>
      <c r="G159" s="158">
        <f t="shared" si="6"/>
        <v>270000</v>
      </c>
      <c r="H159" s="158">
        <f t="shared" si="6"/>
        <v>502.933845180079</v>
      </c>
      <c r="I159" s="158">
        <f t="shared" si="6"/>
        <v>434900</v>
      </c>
      <c r="J159" s="158">
        <f t="shared" si="6"/>
        <v>330734.24</v>
      </c>
      <c r="K159" s="167">
        <f t="shared" si="6"/>
        <v>488000</v>
      </c>
    </row>
    <row r="160" spans="1:11" x14ac:dyDescent="0.3">
      <c r="A160" s="143"/>
      <c r="B160" s="99">
        <v>1</v>
      </c>
      <c r="C160" s="111" t="s">
        <v>152</v>
      </c>
      <c r="D160" s="113">
        <v>2116</v>
      </c>
      <c r="E160" s="113">
        <f>D160/9*3</f>
        <v>705.33333333333337</v>
      </c>
      <c r="F160" s="144">
        <f>D160+E160</f>
        <v>2821.3333333333335</v>
      </c>
      <c r="G160" s="144">
        <v>3000</v>
      </c>
      <c r="H160" s="101">
        <f>G160/F160*100</f>
        <v>106.33270321361059</v>
      </c>
      <c r="I160" s="144">
        <v>45000</v>
      </c>
      <c r="J160" s="144">
        <f>28226.63+12097.11</f>
        <v>40323.740000000005</v>
      </c>
      <c r="K160" s="164">
        <v>30000</v>
      </c>
    </row>
    <row r="161" spans="1:11" x14ac:dyDescent="0.3">
      <c r="A161" s="147"/>
      <c r="B161" s="85">
        <f>B160+1</f>
        <v>2</v>
      </c>
      <c r="C161" s="91" t="s">
        <v>220</v>
      </c>
      <c r="D161" s="81"/>
      <c r="E161" s="81"/>
      <c r="F161" s="148"/>
      <c r="G161" s="148"/>
      <c r="H161" s="83"/>
      <c r="I161" s="148">
        <v>69000</v>
      </c>
      <c r="J161" s="148">
        <f>58323.71+400+1600</f>
        <v>60323.71</v>
      </c>
      <c r="K161" s="165">
        <v>80000</v>
      </c>
    </row>
    <row r="162" spans="1:11" x14ac:dyDescent="0.3">
      <c r="A162" s="147"/>
      <c r="B162" s="85">
        <f t="shared" ref="B162:B167" si="7">B161+1</f>
        <v>3</v>
      </c>
      <c r="C162" s="82" t="s">
        <v>212</v>
      </c>
      <c r="D162" s="81">
        <v>40387.32</v>
      </c>
      <c r="E162" s="81">
        <v>3000</v>
      </c>
      <c r="F162" s="148">
        <f>D162+E162</f>
        <v>43387.32</v>
      </c>
      <c r="G162" s="148">
        <v>45000</v>
      </c>
      <c r="H162" s="83">
        <f>G162/F162*100</f>
        <v>103.71693849723836</v>
      </c>
      <c r="I162" s="148">
        <v>69900</v>
      </c>
      <c r="J162" s="148"/>
      <c r="K162" s="165">
        <v>100000</v>
      </c>
    </row>
    <row r="163" spans="1:11" ht="17.399999999999999" customHeight="1" x14ac:dyDescent="0.3">
      <c r="A163" s="147"/>
      <c r="B163" s="85">
        <f t="shared" si="7"/>
        <v>4</v>
      </c>
      <c r="C163" s="82" t="s">
        <v>218</v>
      </c>
      <c r="D163" s="81">
        <v>27704.44</v>
      </c>
      <c r="E163" s="81">
        <f>D163/9*3</f>
        <v>9234.8133333333335</v>
      </c>
      <c r="F163" s="148">
        <f>D163+E163</f>
        <v>36939.253333333334</v>
      </c>
      <c r="G163" s="148">
        <v>38000</v>
      </c>
      <c r="H163" s="83">
        <f>G163/F163*100</f>
        <v>102.87159747679434</v>
      </c>
      <c r="I163" s="148">
        <v>60000</v>
      </c>
      <c r="J163" s="148">
        <f>46053.32+12996+373.7</f>
        <v>59423.02</v>
      </c>
      <c r="K163" s="165">
        <v>60000</v>
      </c>
    </row>
    <row r="164" spans="1:11" x14ac:dyDescent="0.3">
      <c r="A164" s="147"/>
      <c r="B164" s="85">
        <f t="shared" si="7"/>
        <v>5</v>
      </c>
      <c r="C164" s="82" t="s">
        <v>201</v>
      </c>
      <c r="D164" s="81"/>
      <c r="E164" s="81"/>
      <c r="F164" s="148"/>
      <c r="G164" s="148"/>
      <c r="H164" s="83"/>
      <c r="I164" s="148">
        <v>6000</v>
      </c>
      <c r="J164" s="148">
        <v>5785.48</v>
      </c>
      <c r="K164" s="165">
        <v>20000</v>
      </c>
    </row>
    <row r="165" spans="1:11" x14ac:dyDescent="0.3">
      <c r="A165" s="147"/>
      <c r="B165" s="85">
        <f t="shared" si="7"/>
        <v>6</v>
      </c>
      <c r="C165" s="82" t="s">
        <v>204</v>
      </c>
      <c r="D165" s="81">
        <v>25888</v>
      </c>
      <c r="E165" s="81">
        <v>2000</v>
      </c>
      <c r="F165" s="148">
        <f>D165+E165</f>
        <v>27888</v>
      </c>
      <c r="G165" s="148">
        <v>25000</v>
      </c>
      <c r="H165" s="83">
        <f>G165/F165*100</f>
        <v>89.64429145152036</v>
      </c>
      <c r="I165" s="148">
        <v>10000</v>
      </c>
      <c r="J165" s="148">
        <v>6036.24</v>
      </c>
      <c r="K165" s="165">
        <v>18000</v>
      </c>
    </row>
    <row r="166" spans="1:11" x14ac:dyDescent="0.3">
      <c r="A166" s="147"/>
      <c r="B166" s="85">
        <f t="shared" si="7"/>
        <v>7</v>
      </c>
      <c r="C166" s="82" t="s">
        <v>187</v>
      </c>
      <c r="D166" s="81">
        <v>100875.82</v>
      </c>
      <c r="E166" s="81">
        <v>1568.41</v>
      </c>
      <c r="F166" s="148">
        <v>134504.6</v>
      </c>
      <c r="G166" s="148">
        <v>135000</v>
      </c>
      <c r="H166" s="83">
        <f>G166/F166*100</f>
        <v>100.36831454091532</v>
      </c>
      <c r="I166" s="148">
        <v>125000</v>
      </c>
      <c r="J166" s="148">
        <v>122835.75</v>
      </c>
      <c r="K166" s="165">
        <v>130000</v>
      </c>
    </row>
    <row r="167" spans="1:11" ht="14.4" thickBot="1" x14ac:dyDescent="0.35">
      <c r="A167" s="153"/>
      <c r="B167" s="96">
        <f t="shared" si="7"/>
        <v>8</v>
      </c>
      <c r="C167" s="116" t="s">
        <v>153</v>
      </c>
      <c r="D167" s="117"/>
      <c r="E167" s="117"/>
      <c r="F167" s="154">
        <v>23594.67</v>
      </c>
      <c r="G167" s="154">
        <v>24000</v>
      </c>
      <c r="H167" s="98"/>
      <c r="I167" s="154">
        <v>50000</v>
      </c>
      <c r="J167" s="154">
        <v>36006.300000000003</v>
      </c>
      <c r="K167" s="166">
        <v>50000</v>
      </c>
    </row>
    <row r="168" spans="1:11" ht="20.399999999999999" customHeight="1" thickBot="1" x14ac:dyDescent="0.35">
      <c r="A168" s="157" t="s">
        <v>255</v>
      </c>
      <c r="B168" s="102"/>
      <c r="C168" s="114" t="s">
        <v>310</v>
      </c>
      <c r="D168" s="104">
        <f ca="1">SUM(D149:D170)</f>
        <v>11316089.380000001</v>
      </c>
      <c r="E168" s="104">
        <f ca="1">SUM(E149:E170)</f>
        <v>4142455.9462222224</v>
      </c>
      <c r="F168" s="158">
        <f ca="1">SUM(F149:F170)</f>
        <v>15360354.926222224</v>
      </c>
      <c r="G168" s="158">
        <f ca="1">SUM(G149:G170)</f>
        <v>15456000</v>
      </c>
      <c r="H168" s="105">
        <f t="shared" ref="H168:H184" ca="1" si="8">G168/F168*100</f>
        <v>100.62267489414907</v>
      </c>
      <c r="I168" s="158">
        <f ca="1">SUM(I149:I170)</f>
        <v>15531000</v>
      </c>
      <c r="J168" s="158">
        <f ca="1">SUM(J149:J170)</f>
        <v>12844654.109999999</v>
      </c>
      <c r="K168" s="159">
        <f>SUM(K169:K170)</f>
        <v>14700000</v>
      </c>
    </row>
    <row r="169" spans="1:11" x14ac:dyDescent="0.3">
      <c r="A169" s="143"/>
      <c r="B169" s="99">
        <v>1</v>
      </c>
      <c r="C169" s="111" t="s">
        <v>12</v>
      </c>
      <c r="D169" s="113">
        <v>9242290.5500000007</v>
      </c>
      <c r="E169" s="113">
        <f>D169/9*3.2</f>
        <v>3286147.7511111116</v>
      </c>
      <c r="F169" s="144">
        <f>D169+E169</f>
        <v>12528438.301111113</v>
      </c>
      <c r="G169" s="144">
        <v>12600000</v>
      </c>
      <c r="H169" s="101">
        <f t="shared" si="8"/>
        <v>100.57119408795381</v>
      </c>
      <c r="I169" s="144">
        <v>12500000</v>
      </c>
      <c r="J169" s="144">
        <f>10021534.94+86738.42</f>
        <v>10108273.359999999</v>
      </c>
      <c r="K169" s="164">
        <v>12500000</v>
      </c>
    </row>
    <row r="170" spans="1:11" ht="14.4" thickBot="1" x14ac:dyDescent="0.35">
      <c r="A170" s="153"/>
      <c r="B170" s="96">
        <v>2</v>
      </c>
      <c r="C170" s="116" t="s">
        <v>154</v>
      </c>
      <c r="D170" s="117">
        <v>1477304.33</v>
      </c>
      <c r="E170" s="117">
        <f>D170/9*3.2</f>
        <v>525263.76177777781</v>
      </c>
      <c r="F170" s="154">
        <f>D170+E170</f>
        <v>2002568.0917777778</v>
      </c>
      <c r="G170" s="154">
        <v>2010000</v>
      </c>
      <c r="H170" s="98">
        <f t="shared" si="8"/>
        <v>100.37111887744223</v>
      </c>
      <c r="I170" s="154">
        <v>1900000</v>
      </c>
      <c r="J170" s="154">
        <f>1725615.89+50471.21</f>
        <v>1776087.0999999999</v>
      </c>
      <c r="K170" s="166">
        <v>2200000</v>
      </c>
    </row>
    <row r="171" spans="1:11" ht="14.4" thickBot="1" x14ac:dyDescent="0.35">
      <c r="A171" s="157" t="s">
        <v>256</v>
      </c>
      <c r="B171" s="102"/>
      <c r="C171" s="114" t="s">
        <v>223</v>
      </c>
      <c r="D171" s="104">
        <f>SUM(D172:D173)</f>
        <v>578638.52</v>
      </c>
      <c r="E171" s="104">
        <f>SUM(E172:E173)</f>
        <v>532486.84</v>
      </c>
      <c r="F171" s="158">
        <f>SUM(F172:F173)</f>
        <v>1068094.22</v>
      </c>
      <c r="G171" s="158">
        <f>SUM(G172:G173)</f>
        <v>1045000</v>
      </c>
      <c r="H171" s="105">
        <f t="shared" si="8"/>
        <v>97.837810600641589</v>
      </c>
      <c r="I171" s="158">
        <f>SUM(I172:I173)</f>
        <v>735000</v>
      </c>
      <c r="J171" s="158">
        <f>SUM(J172:J173)</f>
        <v>482103.31999999995</v>
      </c>
      <c r="K171" s="159">
        <f>SUM(K172:K173)</f>
        <v>265000</v>
      </c>
    </row>
    <row r="172" spans="1:11" x14ac:dyDescent="0.3">
      <c r="A172" s="143"/>
      <c r="B172" s="99">
        <v>1</v>
      </c>
      <c r="C172" s="111" t="s">
        <v>156</v>
      </c>
      <c r="D172" s="113">
        <v>546365</v>
      </c>
      <c r="E172" s="113">
        <v>521729</v>
      </c>
      <c r="F172" s="144">
        <v>1025062.86</v>
      </c>
      <c r="G172" s="144">
        <v>1000000</v>
      </c>
      <c r="H172" s="101">
        <f t="shared" si="8"/>
        <v>97.554992871364007</v>
      </c>
      <c r="I172" s="144">
        <v>700000</v>
      </c>
      <c r="J172" s="144">
        <f>184341.59+265324.47</f>
        <v>449666.05999999994</v>
      </c>
      <c r="K172" s="164">
        <v>250000</v>
      </c>
    </row>
    <row r="173" spans="1:11" ht="14.4" thickBot="1" x14ac:dyDescent="0.35">
      <c r="A173" s="153"/>
      <c r="B173" s="96">
        <v>2</v>
      </c>
      <c r="C173" s="116" t="s">
        <v>171</v>
      </c>
      <c r="D173" s="117">
        <v>32273.52</v>
      </c>
      <c r="E173" s="117">
        <f>D173/9*3</f>
        <v>10757.84</v>
      </c>
      <c r="F173" s="154">
        <f>D173+E173</f>
        <v>43031.360000000001</v>
      </c>
      <c r="G173" s="154">
        <v>45000</v>
      </c>
      <c r="H173" s="98">
        <f t="shared" si="8"/>
        <v>104.57489607579215</v>
      </c>
      <c r="I173" s="154">
        <v>35000</v>
      </c>
      <c r="J173" s="154">
        <f>32417.67+19.59</f>
        <v>32437.26</v>
      </c>
      <c r="K173" s="166">
        <v>15000</v>
      </c>
    </row>
    <row r="174" spans="1:11" ht="14.4" thickBot="1" x14ac:dyDescent="0.35">
      <c r="A174" s="157" t="s">
        <v>308</v>
      </c>
      <c r="B174" s="102"/>
      <c r="C174" s="114" t="s">
        <v>141</v>
      </c>
      <c r="D174" s="104">
        <f>SUM(D175:D177)</f>
        <v>315218.5</v>
      </c>
      <c r="E174" s="104">
        <f>SUM(E175:E177)</f>
        <v>95644.6</v>
      </c>
      <c r="F174" s="158">
        <f>SUM(F175:F177)</f>
        <v>410863.10000000003</v>
      </c>
      <c r="G174" s="158">
        <f>SUM(G175:G177)</f>
        <v>100000</v>
      </c>
      <c r="H174" s="105">
        <f t="shared" si="8"/>
        <v>24.339007323850691</v>
      </c>
      <c r="I174" s="158">
        <f>SUM(I175:I181)</f>
        <v>516000</v>
      </c>
      <c r="J174" s="158">
        <f>SUM(J175:J181)</f>
        <v>434419.51</v>
      </c>
      <c r="K174" s="159">
        <f>SUM(K175:K179)</f>
        <v>105000</v>
      </c>
    </row>
    <row r="175" spans="1:11" x14ac:dyDescent="0.3">
      <c r="A175" s="143"/>
      <c r="B175" s="99">
        <v>1</v>
      </c>
      <c r="C175" s="111" t="s">
        <v>157</v>
      </c>
      <c r="D175" s="113">
        <v>28284.7</v>
      </c>
      <c r="E175" s="113">
        <v>0</v>
      </c>
      <c r="F175" s="144">
        <f>D175+E175</f>
        <v>28284.7</v>
      </c>
      <c r="G175" s="144">
        <v>0</v>
      </c>
      <c r="H175" s="101">
        <f t="shared" si="8"/>
        <v>0</v>
      </c>
      <c r="I175" s="144">
        <v>5000</v>
      </c>
      <c r="J175" s="144"/>
      <c r="K175" s="164">
        <v>5000</v>
      </c>
    </row>
    <row r="176" spans="1:11" x14ac:dyDescent="0.3">
      <c r="A176" s="147"/>
      <c r="B176" s="85">
        <v>2</v>
      </c>
      <c r="C176" s="82" t="s">
        <v>262</v>
      </c>
      <c r="D176" s="81"/>
      <c r="E176" s="81"/>
      <c r="F176" s="148"/>
      <c r="G176" s="148"/>
      <c r="H176" s="83"/>
      <c r="I176" s="148"/>
      <c r="J176" s="148"/>
      <c r="K176" s="165">
        <v>10000</v>
      </c>
    </row>
    <row r="177" spans="1:11" x14ac:dyDescent="0.3">
      <c r="A177" s="147"/>
      <c r="B177" s="85">
        <v>3</v>
      </c>
      <c r="C177" s="82" t="s">
        <v>183</v>
      </c>
      <c r="D177" s="81">
        <v>286933.8</v>
      </c>
      <c r="E177" s="81">
        <f>D177/9*3</f>
        <v>95644.6</v>
      </c>
      <c r="F177" s="148">
        <f>D177+E177</f>
        <v>382578.4</v>
      </c>
      <c r="G177" s="148">
        <v>100000</v>
      </c>
      <c r="H177" s="83">
        <f t="shared" si="8"/>
        <v>26.138433325038733</v>
      </c>
      <c r="I177" s="148">
        <v>1000</v>
      </c>
      <c r="J177" s="148">
        <v>153</v>
      </c>
      <c r="K177" s="165">
        <v>10000</v>
      </c>
    </row>
    <row r="178" spans="1:11" x14ac:dyDescent="0.3">
      <c r="A178" s="147"/>
      <c r="B178" s="85">
        <v>4</v>
      </c>
      <c r="C178" s="82" t="s">
        <v>258</v>
      </c>
      <c r="D178" s="81"/>
      <c r="E178" s="81"/>
      <c r="F178" s="148"/>
      <c r="G178" s="148"/>
      <c r="H178" s="83"/>
      <c r="I178" s="148"/>
      <c r="J178" s="148"/>
      <c r="K178" s="165">
        <v>60000</v>
      </c>
    </row>
    <row r="179" spans="1:11" ht="14.4" thickBot="1" x14ac:dyDescent="0.35">
      <c r="A179" s="153"/>
      <c r="B179" s="96">
        <v>5</v>
      </c>
      <c r="C179" s="116" t="s">
        <v>227</v>
      </c>
      <c r="D179" s="117"/>
      <c r="E179" s="117"/>
      <c r="F179" s="154"/>
      <c r="G179" s="154"/>
      <c r="H179" s="98"/>
      <c r="I179" s="154">
        <v>10000</v>
      </c>
      <c r="J179" s="154">
        <v>7000</v>
      </c>
      <c r="K179" s="166">
        <v>20000</v>
      </c>
    </row>
    <row r="180" spans="1:11" s="88" customFormat="1" ht="14.4" thickBot="1" x14ac:dyDescent="0.35">
      <c r="A180" s="157" t="s">
        <v>311</v>
      </c>
      <c r="B180" s="122"/>
      <c r="C180" s="114" t="s">
        <v>309</v>
      </c>
      <c r="D180" s="104"/>
      <c r="E180" s="104"/>
      <c r="F180" s="158"/>
      <c r="G180" s="158"/>
      <c r="H180" s="123"/>
      <c r="I180" s="158"/>
      <c r="J180" s="158"/>
      <c r="K180" s="172">
        <f>+K181</f>
        <v>300000</v>
      </c>
    </row>
    <row r="181" spans="1:11" ht="14.4" thickBot="1" x14ac:dyDescent="0.35">
      <c r="A181" s="160" t="s">
        <v>216</v>
      </c>
      <c r="B181" s="106">
        <v>1</v>
      </c>
      <c r="C181" s="124" t="s">
        <v>235</v>
      </c>
      <c r="D181" s="125"/>
      <c r="E181" s="125"/>
      <c r="F181" s="161"/>
      <c r="G181" s="161"/>
      <c r="H181" s="108"/>
      <c r="I181" s="161">
        <v>500000</v>
      </c>
      <c r="J181" s="161">
        <v>427266.51</v>
      </c>
      <c r="K181" s="163">
        <v>300000</v>
      </c>
    </row>
    <row r="182" spans="1:11" ht="25.2" customHeight="1" thickBot="1" x14ac:dyDescent="0.35">
      <c r="A182" s="157"/>
      <c r="B182" s="102"/>
      <c r="C182" s="114" t="s">
        <v>142</v>
      </c>
      <c r="D182" s="104" t="e">
        <f>SUM(D43)</f>
        <v>#REF!</v>
      </c>
      <c r="E182" s="104" t="e">
        <f>SUM(E43)</f>
        <v>#REF!</v>
      </c>
      <c r="F182" s="158" t="e">
        <f>SUM(F43)</f>
        <v>#REF!</v>
      </c>
      <c r="G182" s="158" t="e">
        <f>SUM(G43)</f>
        <v>#REF!</v>
      </c>
      <c r="H182" s="105" t="e">
        <f t="shared" si="8"/>
        <v>#REF!</v>
      </c>
      <c r="I182" s="158">
        <f>SUM(I43)</f>
        <v>29103300</v>
      </c>
      <c r="J182" s="158">
        <f>SUM(J43)</f>
        <v>24284983.139999993</v>
      </c>
      <c r="K182" s="159">
        <f>SUM(K43)</f>
        <v>29086000</v>
      </c>
    </row>
    <row r="183" spans="1:11" ht="18" customHeight="1" thickBot="1" x14ac:dyDescent="0.35">
      <c r="A183" s="157"/>
      <c r="B183" s="102"/>
      <c r="C183" s="114" t="s">
        <v>325</v>
      </c>
      <c r="D183" s="104" t="e">
        <f>SUM(D174,D171,#REF!,D168,D159,D140,D101,D83,D46)</f>
        <v>#REF!</v>
      </c>
      <c r="E183" s="104" t="e">
        <f>SUM(E174,E171,#REF!,E168,E159,E140,E101,E83,E46)</f>
        <v>#REF!</v>
      </c>
      <c r="F183" s="158" t="e">
        <f>SUM(F174,F171,#REF!,F168,F159,F140,F101,F83,F46)</f>
        <v>#REF!</v>
      </c>
      <c r="G183" s="158" t="e">
        <f>SUM(G174,G171,#REF!,G168,G159,G140,G101,G83,G46)</f>
        <v>#REF!</v>
      </c>
      <c r="H183" s="105" t="e">
        <f t="shared" si="8"/>
        <v>#REF!</v>
      </c>
      <c r="I183" s="158">
        <f ca="1">+I46+I83+I101+I140+I159+I171+I174+I168</f>
        <v>23343400</v>
      </c>
      <c r="J183" s="158">
        <f ca="1">+J46+J83+J101+J140+J159+J171+J174+J168</f>
        <v>19426224.699999999</v>
      </c>
      <c r="K183" s="159">
        <f>+K46+K83+K101+K140+K148+K157+K159+K168+K171+K174+K180</f>
        <v>28646600</v>
      </c>
    </row>
    <row r="184" spans="1:11" ht="22.8" customHeight="1" thickBot="1" x14ac:dyDescent="0.35">
      <c r="A184" s="178" t="s">
        <v>312</v>
      </c>
      <c r="B184" s="126" t="s">
        <v>216</v>
      </c>
      <c r="C184" s="179" t="s">
        <v>188</v>
      </c>
      <c r="D184" s="180" t="e">
        <f>D182-D183</f>
        <v>#REF!</v>
      </c>
      <c r="E184" s="180" t="e">
        <f>E182-E183</f>
        <v>#REF!</v>
      </c>
      <c r="F184" s="181" t="e">
        <f>F182-F183</f>
        <v>#REF!</v>
      </c>
      <c r="G184" s="181" t="e">
        <f>G182-G183</f>
        <v>#REF!</v>
      </c>
      <c r="H184" s="182" t="e">
        <f t="shared" si="8"/>
        <v>#REF!</v>
      </c>
      <c r="I184" s="181">
        <f ca="1">I182-I183</f>
        <v>5759900</v>
      </c>
      <c r="J184" s="181">
        <f ca="1">J182-J183</f>
        <v>4858758.4399999939</v>
      </c>
      <c r="K184" s="183">
        <f>+K182-K183</f>
        <v>439400</v>
      </c>
    </row>
  </sheetData>
  <mergeCells count="2">
    <mergeCell ref="A2:J2"/>
    <mergeCell ref="A1:K1"/>
  </mergeCells>
  <pageMargins left="0.9055118110236221" right="0.11811023622047245" top="0.55118110236220474" bottom="0.94488188976377963" header="0.31496062992125984" footer="0.31496062992125984"/>
  <pageSetup paperSize="9" orientation="portrait" horizontalDpi="4294967293" verticalDpi="4294967293" r:id="rId1"/>
  <headerFooter>
    <oddFooter xml:space="preserve">&amp;L&amp;"Arial,Kurziv"&amp;8 &amp;C&amp;"Arial,Kurziv"&amp;8 &amp;R&amp;"Arial,Kurziv"&amp;8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" sqref="A3:O13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RASHODA 2013.</vt:lpstr>
      <vt:lpstr>PLAN PRIHODA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Mirjana Đirlić</cp:lastModifiedBy>
  <cp:lastPrinted>2018-09-21T05:57:12Z</cp:lastPrinted>
  <dcterms:created xsi:type="dcterms:W3CDTF">2011-10-12T06:43:57Z</dcterms:created>
  <dcterms:modified xsi:type="dcterms:W3CDTF">2018-09-21T06:12:24Z</dcterms:modified>
</cp:coreProperties>
</file>