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Desktop\"/>
    </mc:Choice>
  </mc:AlternateContent>
  <xr:revisionPtr revIDLastSave="0" documentId="13_ncr:1_{FD9E53E6-9848-4FE1-A5F1-1716F1AFFB4D}" xr6:coauthVersionLast="36" xr6:coauthVersionMax="36" xr10:uidLastSave="{00000000-0000-0000-0000-000000000000}"/>
  <bookViews>
    <workbookView xWindow="0" yWindow="0" windowWidth="23040" windowHeight="8712" tabRatio="511" firstSheet="2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4" i="4" l="1"/>
  <c r="K164" i="4" l="1"/>
  <c r="K170" i="4"/>
  <c r="K158" i="4"/>
  <c r="K138" i="4"/>
  <c r="K38" i="4" l="1"/>
  <c r="K131" i="4"/>
  <c r="K130" i="4" s="1"/>
  <c r="K86" i="4"/>
  <c r="K63" i="4" l="1"/>
  <c r="K45" i="4" s="1"/>
  <c r="K34" i="4" l="1"/>
  <c r="K33" i="4"/>
  <c r="K29" i="4"/>
  <c r="K31" i="4"/>
  <c r="K27" i="4"/>
  <c r="K26" i="4"/>
  <c r="K30" i="4"/>
  <c r="K28" i="4"/>
  <c r="K147" i="4"/>
  <c r="K161" i="4"/>
  <c r="K149" i="4"/>
  <c r="K78" i="4"/>
  <c r="K36" i="4"/>
  <c r="K44" i="4" l="1"/>
  <c r="K173" i="4"/>
  <c r="K5" i="4"/>
  <c r="K4" i="4" s="1"/>
  <c r="K42" i="4" s="1"/>
  <c r="K172" i="4" s="1"/>
  <c r="B151" i="4" l="1"/>
  <c r="B152" i="4" s="1"/>
  <c r="B153" i="4" s="1"/>
  <c r="B154" i="4" s="1"/>
  <c r="B155" i="4" s="1"/>
  <c r="B156" i="4" s="1"/>
  <c r="B157" i="4" s="1"/>
  <c r="J164" i="4" l="1"/>
  <c r="I164" i="4"/>
  <c r="J143" i="4"/>
  <c r="J151" i="4"/>
  <c r="I94" i="4"/>
  <c r="J125" i="4"/>
  <c r="J109" i="4"/>
  <c r="J103" i="4"/>
  <c r="J98" i="4"/>
  <c r="J74" i="4"/>
  <c r="J71" i="4"/>
  <c r="J68" i="4"/>
  <c r="J73" i="4"/>
  <c r="J39" i="4"/>
  <c r="D5" i="4" l="1"/>
  <c r="E5" i="4"/>
  <c r="I5" i="4"/>
  <c r="J5" i="4"/>
  <c r="F6" i="4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G22" i="4" s="1"/>
  <c r="F23" i="4"/>
  <c r="H23" i="4" s="1"/>
  <c r="F26" i="4"/>
  <c r="H26" i="4" s="1"/>
  <c r="F27" i="4"/>
  <c r="H27" i="4" s="1"/>
  <c r="F28" i="4"/>
  <c r="H28" i="4" s="1"/>
  <c r="F29" i="4"/>
  <c r="H29" i="4" s="1"/>
  <c r="H30" i="4"/>
  <c r="F31" i="4"/>
  <c r="H31" i="4" s="1"/>
  <c r="F33" i="4"/>
  <c r="H33" i="4" s="1"/>
  <c r="D36" i="4"/>
  <c r="G36" i="4"/>
  <c r="I36" i="4"/>
  <c r="J36" i="4"/>
  <c r="F37" i="4"/>
  <c r="F36" i="4" s="1"/>
  <c r="D38" i="4"/>
  <c r="E38" i="4"/>
  <c r="G38" i="4"/>
  <c r="I38" i="4"/>
  <c r="J38" i="4"/>
  <c r="F39" i="4"/>
  <c r="H39" i="4" s="1"/>
  <c r="D42" i="4"/>
  <c r="D172" i="4" s="1"/>
  <c r="E42" i="4"/>
  <c r="E172" i="4" s="1"/>
  <c r="F42" i="4"/>
  <c r="F172" i="4" s="1"/>
  <c r="G42" i="4"/>
  <c r="G172" i="4" s="1"/>
  <c r="J144" i="4"/>
  <c r="J153" i="4"/>
  <c r="J150" i="4"/>
  <c r="J70" i="4"/>
  <c r="J163" i="4"/>
  <c r="J162" i="4"/>
  <c r="J160" i="4"/>
  <c r="J159" i="4"/>
  <c r="J145" i="4"/>
  <c r="J140" i="4"/>
  <c r="J131" i="4"/>
  <c r="J130" i="4" s="1"/>
  <c r="J119" i="4"/>
  <c r="J88" i="4"/>
  <c r="D45" i="4"/>
  <c r="G45" i="4"/>
  <c r="I45" i="4"/>
  <c r="H46" i="4"/>
  <c r="H47" i="4"/>
  <c r="H48" i="4"/>
  <c r="H49" i="4"/>
  <c r="H50" i="4"/>
  <c r="H51" i="4"/>
  <c r="E52" i="4"/>
  <c r="H52" i="4"/>
  <c r="E56" i="4"/>
  <c r="F56" i="4" s="1"/>
  <c r="E57" i="4"/>
  <c r="H57" i="4"/>
  <c r="E60" i="4"/>
  <c r="H60" i="4"/>
  <c r="E62" i="4"/>
  <c r="H62" i="4"/>
  <c r="H68" i="4"/>
  <c r="H71" i="4"/>
  <c r="E72" i="4"/>
  <c r="H72" i="4"/>
  <c r="H73" i="4"/>
  <c r="H74" i="4"/>
  <c r="D78" i="4"/>
  <c r="I78" i="4"/>
  <c r="E79" i="4"/>
  <c r="F79" i="4" s="1"/>
  <c r="H79" i="4" s="1"/>
  <c r="E82" i="4"/>
  <c r="H82" i="4"/>
  <c r="E83" i="4"/>
  <c r="F83" i="4" s="1"/>
  <c r="H83" i="4" s="1"/>
  <c r="E84" i="4"/>
  <c r="F84" i="4" s="1"/>
  <c r="H84" i="4" s="1"/>
  <c r="E85" i="4"/>
  <c r="H85" i="4"/>
  <c r="H87" i="4"/>
  <c r="E88" i="4"/>
  <c r="H88" i="4"/>
  <c r="F90" i="4"/>
  <c r="G90" i="4" s="1"/>
  <c r="H90" i="4" s="1"/>
  <c r="D94" i="4"/>
  <c r="E97" i="4"/>
  <c r="F97" i="4" s="1"/>
  <c r="H97" i="4" s="1"/>
  <c r="E98" i="4"/>
  <c r="H98" i="4"/>
  <c r="E99" i="4"/>
  <c r="F99" i="4" s="1"/>
  <c r="E102" i="4"/>
  <c r="H102" i="4"/>
  <c r="F103" i="4"/>
  <c r="G103" i="4" s="1"/>
  <c r="E106" i="4"/>
  <c r="H106" i="4"/>
  <c r="E107" i="4"/>
  <c r="F107" i="4" s="1"/>
  <c r="H107" i="4" s="1"/>
  <c r="E108" i="4"/>
  <c r="F108" i="4" s="1"/>
  <c r="H108" i="4" s="1"/>
  <c r="E109" i="4"/>
  <c r="F109" i="4" s="1"/>
  <c r="H109" i="4" s="1"/>
  <c r="E119" i="4"/>
  <c r="F119" i="4" s="1"/>
  <c r="H119" i="4" s="1"/>
  <c r="H124" i="4"/>
  <c r="D130" i="4"/>
  <c r="G130" i="4"/>
  <c r="E131" i="4"/>
  <c r="E130" i="4" s="1"/>
  <c r="D149" i="4"/>
  <c r="G149" i="4"/>
  <c r="I149" i="4"/>
  <c r="E150" i="4"/>
  <c r="F152" i="4"/>
  <c r="H152" i="4" s="1"/>
  <c r="E153" i="4"/>
  <c r="F153" i="4" s="1"/>
  <c r="H153" i="4" s="1"/>
  <c r="F155" i="4"/>
  <c r="H155" i="4" s="1"/>
  <c r="H156" i="4"/>
  <c r="E139" i="4"/>
  <c r="F139" i="4" s="1"/>
  <c r="E140" i="4"/>
  <c r="H140" i="4"/>
  <c r="H141" i="4"/>
  <c r="E143" i="4"/>
  <c r="H143" i="4"/>
  <c r="E144" i="4"/>
  <c r="H144" i="4"/>
  <c r="E145" i="4"/>
  <c r="F145" i="4" s="1"/>
  <c r="H145" i="4" s="1"/>
  <c r="E159" i="4"/>
  <c r="F159" i="4" s="1"/>
  <c r="H159" i="4" s="1"/>
  <c r="E160" i="4"/>
  <c r="F160" i="4" s="1"/>
  <c r="H160" i="4" s="1"/>
  <c r="D161" i="4"/>
  <c r="G161" i="4"/>
  <c r="I161" i="4"/>
  <c r="H162" i="4"/>
  <c r="E163" i="4"/>
  <c r="E161" i="4" s="1"/>
  <c r="D164" i="4"/>
  <c r="G164" i="4"/>
  <c r="F165" i="4"/>
  <c r="E167" i="4"/>
  <c r="E164" i="4" s="1"/>
  <c r="D173" i="4"/>
  <c r="D44" i="4" s="1"/>
  <c r="E173" i="4"/>
  <c r="E44" i="4" s="1"/>
  <c r="F173" i="4"/>
  <c r="F44" i="4" s="1"/>
  <c r="G173" i="4"/>
  <c r="G44" i="4" s="1"/>
  <c r="N5" i="2"/>
  <c r="N6" i="2"/>
  <c r="N7" i="2"/>
  <c r="N8" i="2"/>
  <c r="N76" i="2" s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" i="1"/>
  <c r="K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/>
  <c r="N28" i="1"/>
  <c r="N29" i="1"/>
  <c r="N30" i="1"/>
  <c r="N31" i="1"/>
  <c r="N32" i="1"/>
  <c r="N33" i="1"/>
  <c r="N34" i="1"/>
  <c r="N35" i="1"/>
  <c r="K36" i="1"/>
  <c r="K65" i="1" s="1"/>
  <c r="N37" i="1"/>
  <c r="N38" i="1"/>
  <c r="N39" i="1"/>
  <c r="N40" i="1"/>
  <c r="N41" i="1"/>
  <c r="L42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/>
  <c r="N62" i="1"/>
  <c r="N63" i="1"/>
  <c r="M64" i="1"/>
  <c r="N64" i="1"/>
  <c r="B65" i="1"/>
  <c r="C65" i="1"/>
  <c r="D65" i="1"/>
  <c r="E65" i="1"/>
  <c r="F65" i="1"/>
  <c r="G65" i="1"/>
  <c r="H65" i="1"/>
  <c r="I65" i="1"/>
  <c r="J65" i="1"/>
  <c r="L65" i="1"/>
  <c r="M65" i="1"/>
  <c r="H36" i="4" l="1"/>
  <c r="N65" i="1"/>
  <c r="N36" i="1"/>
  <c r="J94" i="4"/>
  <c r="J42" i="4"/>
  <c r="D174" i="4"/>
  <c r="H37" i="4"/>
  <c r="J161" i="4"/>
  <c r="H42" i="4"/>
  <c r="J4" i="4"/>
  <c r="J45" i="4"/>
  <c r="J149" i="4"/>
  <c r="G5" i="4"/>
  <c r="G4" i="4" s="1"/>
  <c r="H22" i="4"/>
  <c r="D4" i="4"/>
  <c r="J78" i="4"/>
  <c r="F5" i="4"/>
  <c r="E4" i="4"/>
  <c r="F38" i="4"/>
  <c r="H38" i="4" s="1"/>
  <c r="H6" i="4"/>
  <c r="I4" i="4"/>
  <c r="I42" i="4" s="1"/>
  <c r="I172" i="4" s="1"/>
  <c r="G174" i="4"/>
  <c r="F167" i="4"/>
  <c r="H167" i="4" s="1"/>
  <c r="F131" i="4"/>
  <c r="F130" i="4" s="1"/>
  <c r="E149" i="4"/>
  <c r="H172" i="4"/>
  <c r="E174" i="4"/>
  <c r="H165" i="4"/>
  <c r="F150" i="4"/>
  <c r="H150" i="4" s="1"/>
  <c r="H149" i="4" s="1"/>
  <c r="E94" i="4"/>
  <c r="G78" i="4"/>
  <c r="E45" i="4"/>
  <c r="F163" i="4"/>
  <c r="F161" i="4" s="1"/>
  <c r="H161" i="4" s="1"/>
  <c r="H78" i="4"/>
  <c r="E78" i="4"/>
  <c r="F94" i="4"/>
  <c r="H99" i="4"/>
  <c r="H44" i="4"/>
  <c r="G94" i="4"/>
  <c r="F78" i="4"/>
  <c r="F45" i="4"/>
  <c r="H45" i="4" s="1"/>
  <c r="H56" i="4"/>
  <c r="F174" i="4"/>
  <c r="H173" i="4"/>
  <c r="H139" i="4"/>
  <c r="H103" i="4"/>
  <c r="F4" i="4" l="1"/>
  <c r="H174" i="4"/>
  <c r="J172" i="4"/>
  <c r="F164" i="4"/>
  <c r="H164" i="4" s="1"/>
  <c r="H131" i="4"/>
  <c r="H130" i="4" s="1"/>
  <c r="H163" i="4"/>
  <c r="F149" i="4"/>
  <c r="H94" i="4"/>
  <c r="K174" i="4" l="1"/>
  <c r="F158" i="4"/>
  <c r="J44" i="4"/>
  <c r="I44" i="4"/>
  <c r="E158" i="4"/>
  <c r="G158" i="4"/>
  <c r="H158" i="4"/>
  <c r="J158" i="4"/>
  <c r="J173" i="4"/>
  <c r="J174" i="4"/>
  <c r="I158" i="4"/>
  <c r="I173" i="4"/>
  <c r="I174" i="4"/>
  <c r="D158" i="4"/>
</calcChain>
</file>

<file path=xl/sharedStrings.xml><?xml version="1.0" encoding="utf-8"?>
<sst xmlns="http://schemas.openxmlformats.org/spreadsheetml/2006/main" count="374" uniqueCount="336">
  <si>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</si>
  <si>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</si>
  <si>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</si>
  <si>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</si>
  <si>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</si>
  <si>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</si>
  <si>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</si>
  <si>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</si>
  <si>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</si>
  <si>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</si>
  <si>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</si>
  <si>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</si>
  <si>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</si>
  <si>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</si>
  <si>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</si>
  <si>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</si>
  <si>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</si>
  <si>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</si>
  <si>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</si>
  <si>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</si>
  <si>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</si>
  <si>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</si>
  <si>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</si>
  <si>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</si>
  <si>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</si>
  <si>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</si>
  <si>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</si>
  <si>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</si>
  <si>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</si>
  <si>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</si>
  <si>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</si>
  <si>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</si>
  <si>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</si>
  <si>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</si>
  <si>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</si>
  <si>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</si>
  <si>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</si>
  <si>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</si>
  <si>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</si>
  <si>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</si>
  <si>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</si>
  <si>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</si>
  <si>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</si>
  <si>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</si>
  <si>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</si>
  <si>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</si>
  <si>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</si>
  <si>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</si>
  <si>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</si>
  <si>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</si>
  <si>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</si>
  <si>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</si>
  <si>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</si>
  <si>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</si>
  <si>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</si>
  <si>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</si>
  <si>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</si>
  <si>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</si>
  <si>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</si>
  <si>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</si>
  <si>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</si>
  <si>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</si>
  <si>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</si>
  <si>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</si>
  <si>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</si>
  <si>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</si>
  <si>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</si>
  <si>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</si>
  <si>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</si>
  <si>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</si>
  <si>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</si>
  <si>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</si>
  <si>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</si>
  <si>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</si>
  <si>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</si>
  <si>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</si>
  <si>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</si>
  <si>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</si>
  <si>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</si>
  <si>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</si>
  <si>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</si>
  <si>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</si>
  <si>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</si>
  <si>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</si>
  <si>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</si>
  <si>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</si>
  <si>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</si>
  <si>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</si>
  <si>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</si>
  <si>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</si>
  <si>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</si>
  <si>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</si>
  <si>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</si>
  <si>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</si>
  <si>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</si>
  <si>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</si>
  <si>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</si>
  <si>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</si>
  <si>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</si>
  <si>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</si>
  <si>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</si>
  <si>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</si>
  <si>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</si>
  <si>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</si>
  <si>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</si>
  <si>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</si>
  <si>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</si>
  <si>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</si>
  <si>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</si>
  <si>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</si>
  <si>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</si>
  <si>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</si>
  <si>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</si>
  <si>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</si>
  <si>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</si>
  <si>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</si>
  <si>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</si>
  <si>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</si>
  <si>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</si>
  <si>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</si>
  <si>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</si>
  <si>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</si>
  <si>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</si>
  <si>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</si>
  <si>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</si>
  <si>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</si>
  <si>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</si>
  <si>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</si>
  <si>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</si>
  <si>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</si>
  <si>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</si>
  <si>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</si>
  <si>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</si>
  <si>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</si>
  <si>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</si>
  <si>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</si>
  <si>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</si>
  <si>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</si>
  <si>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</si>
  <si>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</si>
  <si>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</si>
  <si>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</si>
  <si>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</si>
  <si>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</si>
  <si>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 xml:space="preserve">Gorivo </t>
  </si>
  <si>
    <t>MATERIJALNI TROŠKOVI:</t>
  </si>
  <si>
    <t>Najamnine i zakupnine</t>
  </si>
  <si>
    <t>Naknade za ceste i tehnički pregled vozila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</si>
  <si>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</si>
  <si>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</si>
  <si>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</si>
  <si>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</si>
  <si>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</si>
  <si>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</si>
  <si>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Ugovori o djelu i honorari</t>
  </si>
  <si>
    <t>Doprinosi na plaće</t>
  </si>
  <si>
    <t>Dnevnice za službeni put</t>
  </si>
  <si>
    <t>Kamate</t>
  </si>
  <si>
    <t>Manjkovi usljed provale i krađe</t>
  </si>
  <si>
    <t xml:space="preserve">Prihodi od smetlarine </t>
  </si>
  <si>
    <t>Prihodi od parkinga</t>
  </si>
  <si>
    <t>Prihodi od magnetske kartice</t>
  </si>
  <si>
    <t>Prihodi od tržnice</t>
  </si>
  <si>
    <t>Prihodi od gradski radio</t>
  </si>
  <si>
    <t>Prihodi od pauka</t>
  </si>
  <si>
    <t>Prihodi od prijevoza vode</t>
  </si>
  <si>
    <t>Prihodi od režije u najmu</t>
  </si>
  <si>
    <t>Prihodi od ribarnice</t>
  </si>
  <si>
    <t>Prihodi grobne naknade</t>
  </si>
  <si>
    <t>Prihodi  knjigovodstvene usluge Dobrić</t>
  </si>
  <si>
    <t>FINANCIJSKI PRIHODI:</t>
  </si>
  <si>
    <t>IZVANREDNI  PRIHODI :</t>
  </si>
  <si>
    <t>Negativne tečajne razlike po kreditima</t>
  </si>
  <si>
    <t>INDEX (4:3)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</si>
  <si>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</si>
  <si>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</si>
  <si>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</si>
  <si>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</si>
  <si>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</si>
  <si>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</si>
  <si>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</si>
  <si>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</si>
  <si>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Gnojiva i zaštitna sredstva</t>
  </si>
  <si>
    <t>Vodoinstalacijski materijal</t>
  </si>
  <si>
    <t>Naknadno utvrđeni troškovi</t>
  </si>
  <si>
    <t>Usluge tekućeg održavanja - obrada taho listića</t>
  </si>
  <si>
    <t>Električna energija -distribucija</t>
  </si>
  <si>
    <t>Električna energija -opskrba</t>
  </si>
  <si>
    <t>Naknade članovima nadzornog odbora</t>
  </si>
  <si>
    <t>DOBITAK/(-)GUBITAK</t>
  </si>
  <si>
    <t>Predsjednik Uprave</t>
  </si>
  <si>
    <t>POZICIJA PLANA</t>
  </si>
  <si>
    <t>PLAN ZA 2013.g.</t>
  </si>
  <si>
    <t>PROCJENA ZA 2012.g.</t>
  </si>
  <si>
    <t>Prihodi od crpljenja</t>
  </si>
  <si>
    <t>PLAN PRIHODA 2013.g.</t>
  </si>
  <si>
    <t>PLAN RASHODA 2013.g.</t>
  </si>
  <si>
    <t>Alati i pribor</t>
  </si>
  <si>
    <t>Prijevozničke usluge u pomorskom prometu</t>
  </si>
  <si>
    <t>Prijevozničke usluge u cestovnom prometu, cestarine i dr.</t>
  </si>
  <si>
    <t>Naknade za korištenje ostalih prava , mediji</t>
  </si>
  <si>
    <t>Usluge održavanja software-a LIBUSOFT</t>
  </si>
  <si>
    <t>Cestarine, mostarine, tunelarine i ostali prijevoz</t>
  </si>
  <si>
    <t>Troškovi stručne literature i tiska</t>
  </si>
  <si>
    <t>Ostale potpore i naknade radnicima</t>
  </si>
  <si>
    <t>Građevinske usluge deponij</t>
  </si>
  <si>
    <t>Objava oglasa</t>
  </si>
  <si>
    <t>Auto ulja i maziva</t>
  </si>
  <si>
    <t xml:space="preserve">Usluge student servisa </t>
  </si>
  <si>
    <t>PLAN ZA 2015.g.</t>
  </si>
  <si>
    <t>Materijal-ostali</t>
  </si>
  <si>
    <t>Materijal za čišćenje</t>
  </si>
  <si>
    <t>Ostale komunalne usluge</t>
  </si>
  <si>
    <t>Građevinski materijal - KAMENI AGREGAT</t>
  </si>
  <si>
    <t>Javnobilježničke naknade</t>
  </si>
  <si>
    <t>Prihodi od WC-a</t>
  </si>
  <si>
    <t xml:space="preserve">Prihodi od prodaje grobnica </t>
  </si>
  <si>
    <t xml:space="preserve">   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</si>
  <si>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</si>
  <si>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</si>
  <si>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</si>
  <si>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</si>
  <si>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</si>
  <si>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</si>
  <si>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Prihodi od TUŠ-a</t>
  </si>
  <si>
    <t>FINANCIJSKI RASHODI (TROŠKOVI)</t>
  </si>
  <si>
    <t>Prihodi od kamata i ostali financijski prihodi</t>
  </si>
  <si>
    <t>Prihodi od dotacija, darova i subvencije</t>
  </si>
  <si>
    <t>Prihod od čistača - Brodotrogira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</si>
  <si>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</si>
  <si>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</si>
  <si>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</si>
  <si>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</si>
  <si>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</si>
  <si>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Ostvarenje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</si>
  <si>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</si>
  <si>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</si>
  <si>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</si>
  <si>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</si>
  <si>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 xml:space="preserve">Prihodi od prijevoza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</si>
  <si>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</si>
  <si>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</si>
  <si>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</si>
  <si>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</si>
  <si>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</si>
  <si>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</si>
  <si>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Sanacija divljih deponija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</si>
  <si>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</si>
  <si>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</si>
  <si>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</si>
  <si>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</si>
  <si>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</si>
  <si>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</si>
  <si>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</si>
  <si>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</si>
  <si>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</si>
  <si>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</si>
  <si>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</si>
  <si>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</si>
  <si>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</si>
  <si>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</si>
  <si>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Prihodi od ukidanja rezerviranja</t>
  </si>
  <si>
    <t>Otpis obveza prema dobavljačima</t>
  </si>
  <si>
    <t>Geodetske usluge</t>
  </si>
  <si>
    <t>Neotpisana vrijednost otuđ.i rash.im.</t>
  </si>
  <si>
    <t>Usl.plana sanacije</t>
  </si>
  <si>
    <t>Rezerviranja troškova</t>
  </si>
  <si>
    <t>Uredski materijal i toneri</t>
  </si>
  <si>
    <t>Auto dijelovi - transportna sredstva</t>
  </si>
  <si>
    <t xml:space="preserve">Usluge servisa vozila </t>
  </si>
  <si>
    <t>Usluge pravnog savjetovanja</t>
  </si>
  <si>
    <t>Usluge pravnog zastupanja</t>
  </si>
  <si>
    <t xml:space="preserve">Usluge/ premije osiguranja vozila </t>
  </si>
  <si>
    <t>Usluge osiguranja od odgovornosti</t>
  </si>
  <si>
    <t>Vrećice za otpad</t>
  </si>
  <si>
    <t>Kartice evidencije ulaza i izlaza na park.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</si>
  <si>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</si>
  <si>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</si>
  <si>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</si>
  <si>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</si>
  <si>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</si>
  <si>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Zbrinjavanje građ.i glom.otpada</t>
  </si>
  <si>
    <t>Sustav evidencije otpada</t>
  </si>
  <si>
    <t>Čipovi za evidentiranje posuda za otpad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</si>
  <si>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</si>
  <si>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</si>
  <si>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</si>
  <si>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</si>
  <si>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</si>
  <si>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</si>
  <si>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</si>
  <si>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</si>
  <si>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</si>
  <si>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PLAN ZA 2018.g.</t>
  </si>
  <si>
    <t>Sistematski pregledi radnika</t>
  </si>
  <si>
    <t>Tehnički i periodički pregled vozila</t>
  </si>
  <si>
    <t>Usluge reklame i promodžbe</t>
  </si>
  <si>
    <t>Usluge održavanja software-a  PAUK-RING</t>
  </si>
  <si>
    <t>Usluge održavanja sustava  M.parking-INFO</t>
  </si>
  <si>
    <t>Usluge održavanja sustava Wastecontrol</t>
  </si>
  <si>
    <t>Usluge održavanja sustava - T COM</t>
  </si>
  <si>
    <t>Usluge održavanja sustava -dojavni sus.TP L.</t>
  </si>
  <si>
    <t>Usluge održavanja sustava GPS CVP</t>
  </si>
  <si>
    <t>Usluge održavanja software-a - PARKIS RAO</t>
  </si>
  <si>
    <t>Usluge blagdansko ukrašavanje</t>
  </si>
  <si>
    <t xml:space="preserve">Radio oprema  </t>
  </si>
  <si>
    <r>
      <t xml:space="preserve">Auto dijelovi - osobna vozila </t>
    </r>
    <r>
      <rPr>
        <sz val="10"/>
        <color rgb="FFFF0000"/>
        <rFont val="Calibri"/>
        <family val="2"/>
        <charset val="238"/>
      </rPr>
      <t xml:space="preserve"> </t>
    </r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</si>
  <si>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</si>
  <si>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</si>
  <si>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</si>
  <si>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</si>
  <si>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</si>
  <si>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</si>
  <si>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</si>
  <si>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</si>
  <si>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</si>
  <si>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</si>
  <si>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</si>
  <si>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</si>
  <si>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od groblja ( održ.)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</si>
  <si>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</si>
  <si>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</si>
  <si>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</si>
  <si>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</si>
  <si>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</si>
  <si>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Održavanje oborinskih kanala  </t>
  </si>
  <si>
    <t xml:space="preserve">Blagdansko ukrašavanje grada  </t>
  </si>
  <si>
    <t xml:space="preserve">Prihodi od sanacije divljih depon. </t>
  </si>
  <si>
    <t>UKUPNI RASHODI</t>
  </si>
  <si>
    <t>Odvoz i zbrinjavanje otpada na lokaciji Pantan</t>
  </si>
  <si>
    <t>Usluge zbrinjavanja otpadnih ulja</t>
  </si>
  <si>
    <t>Zdravstveni pregledi radnika</t>
  </si>
  <si>
    <t>Boje, lakovi i razređivači</t>
  </si>
  <si>
    <t>Usluge održavanja sustava parking -ECCOS</t>
  </si>
  <si>
    <t>48.1</t>
  </si>
  <si>
    <t xml:space="preserve">   1. IZMJENA FINANCIJSKOG PLANA ZA 2018. 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</si>
</sst>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6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8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4" xfId="0" applyFont="1" applyFill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6" fillId="0" borderId="17" xfId="0" applyFont="1" applyFill="1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4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/>
    <xf numFmtId="4" fontId="11" fillId="2" borderId="2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Alignment="1">
      <alignment horizontal="right"/>
    </xf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1" fontId="11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11" fillId="2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right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4" fontId="11" fillId="2" borderId="14" xfId="0" applyNumberFormat="1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left"/>
    </xf>
    <xf numFmtId="4" fontId="11" fillId="2" borderId="27" xfId="0" applyNumberFormat="1" applyFont="1" applyFill="1" applyBorder="1" applyAlignment="1">
      <alignment horizontal="center" wrapText="1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7" xfId="0" applyFont="1" applyFill="1" applyBorder="1"/>
    <xf numFmtId="0" fontId="11" fillId="2" borderId="27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right"/>
    </xf>
    <xf numFmtId="0" fontId="10" fillId="2" borderId="11" xfId="0" applyFont="1" applyFill="1" applyBorder="1"/>
    <xf numFmtId="0" fontId="11" fillId="2" borderId="14" xfId="0" applyNumberFormat="1" applyFont="1" applyFill="1" applyBorder="1" applyAlignment="1">
      <alignment horizontal="center"/>
    </xf>
    <xf numFmtId="0" fontId="11" fillId="2" borderId="14" xfId="0" applyFont="1" applyFill="1" applyBorder="1"/>
    <xf numFmtId="4" fontId="11" fillId="2" borderId="14" xfId="0" applyNumberFormat="1" applyFont="1" applyFill="1" applyBorder="1" applyAlignment="1">
      <alignment horizontal="right"/>
    </xf>
    <xf numFmtId="1" fontId="11" fillId="2" borderId="27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0" fontId="11" fillId="2" borderId="30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3" fillId="0" borderId="0" xfId="0" applyNumberFormat="1" applyFont="1"/>
    <xf numFmtId="49" fontId="14" fillId="0" borderId="1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 wrapText="1"/>
    </xf>
    <xf numFmtId="4" fontId="10" fillId="2" borderId="11" xfId="0" applyNumberFormat="1" applyFont="1" applyFill="1" applyBorder="1" applyAlignment="1">
      <alignment vertical="top" wrapText="1"/>
    </xf>
    <xf numFmtId="4" fontId="14" fillId="2" borderId="11" xfId="0" applyNumberFormat="1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right"/>
    </xf>
    <xf numFmtId="4" fontId="11" fillId="2" borderId="27" xfId="0" applyNumberFormat="1" applyFont="1" applyFill="1" applyBorder="1" applyAlignment="1"/>
    <xf numFmtId="4" fontId="11" fillId="2" borderId="27" xfId="0" applyNumberFormat="1" applyFont="1" applyFill="1" applyBorder="1" applyAlignment="1">
      <alignment vertical="top" wrapText="1"/>
    </xf>
    <xf numFmtId="4" fontId="13" fillId="2" borderId="2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right"/>
    </xf>
    <xf numFmtId="4" fontId="11" fillId="2" borderId="2" xfId="0" applyNumberFormat="1" applyFont="1" applyFill="1" applyBorder="1" applyAlignment="1"/>
    <xf numFmtId="4" fontId="11" fillId="2" borderId="2" xfId="0" applyNumberFormat="1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vertical="top" wrapText="1"/>
    </xf>
    <xf numFmtId="17" fontId="10" fillId="2" borderId="8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right"/>
    </xf>
    <xf numFmtId="4" fontId="11" fillId="2" borderId="14" xfId="0" applyNumberFormat="1" applyFont="1" applyFill="1" applyBorder="1" applyAlignment="1"/>
    <xf numFmtId="4" fontId="11" fillId="2" borderId="14" xfId="0" applyNumberFormat="1" applyFont="1" applyFill="1" applyBorder="1" applyAlignment="1">
      <alignment vertical="top" wrapText="1"/>
    </xf>
    <xf numFmtId="4" fontId="13" fillId="2" borderId="14" xfId="0" applyNumberFormat="1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4" fontId="14" fillId="2" borderId="11" xfId="0" applyNumberFormat="1" applyFont="1" applyFill="1" applyBorder="1" applyAlignment="1"/>
    <xf numFmtId="0" fontId="10" fillId="2" borderId="6" xfId="0" applyFont="1" applyFill="1" applyBorder="1" applyAlignment="1">
      <alignment horizontal="right"/>
    </xf>
    <xf numFmtId="4" fontId="11" fillId="2" borderId="1" xfId="0" applyNumberFormat="1" applyFont="1" applyFill="1" applyBorder="1" applyAlignment="1"/>
    <xf numFmtId="4" fontId="11" fillId="2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/>
    <xf numFmtId="4" fontId="13" fillId="0" borderId="27" xfId="0" applyNumberFormat="1" applyFont="1" applyBorder="1"/>
    <xf numFmtId="4" fontId="13" fillId="0" borderId="2" xfId="0" applyNumberFormat="1" applyFont="1" applyBorder="1"/>
    <xf numFmtId="4" fontId="13" fillId="0" borderId="14" xfId="0" applyNumberFormat="1" applyFont="1" applyBorder="1"/>
    <xf numFmtId="4" fontId="14" fillId="2" borderId="12" xfId="0" applyNumberFormat="1" applyFont="1" applyFill="1" applyBorder="1" applyAlignment="1"/>
    <xf numFmtId="49" fontId="14" fillId="0" borderId="12" xfId="0" applyNumberFormat="1" applyFont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/>
    </xf>
    <xf numFmtId="4" fontId="14" fillId="0" borderId="11" xfId="0" applyNumberFormat="1" applyFont="1" applyBorder="1"/>
    <xf numFmtId="0" fontId="10" fillId="2" borderId="2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4" fontId="11" fillId="2" borderId="11" xfId="0" applyNumberFormat="1" applyFont="1" applyFill="1" applyBorder="1" applyAlignment="1"/>
    <xf numFmtId="0" fontId="10" fillId="2" borderId="29" xfId="0" applyFont="1" applyFill="1" applyBorder="1" applyAlignment="1">
      <alignment horizontal="right"/>
    </xf>
    <xf numFmtId="0" fontId="10" fillId="2" borderId="30" xfId="0" applyFont="1" applyFill="1" applyBorder="1"/>
    <xf numFmtId="4" fontId="10" fillId="2" borderId="30" xfId="0" applyNumberFormat="1" applyFont="1" applyFill="1" applyBorder="1" applyAlignment="1">
      <alignment horizontal="right"/>
    </xf>
    <xf numFmtId="4" fontId="10" fillId="2" borderId="30" xfId="0" applyNumberFormat="1" applyFont="1" applyFill="1" applyBorder="1" applyAlignment="1"/>
    <xf numFmtId="4" fontId="10" fillId="2" borderId="30" xfId="0" applyNumberFormat="1" applyFont="1" applyFill="1" applyBorder="1" applyAlignment="1">
      <alignment horizontal="center" wrapText="1"/>
    </xf>
    <xf numFmtId="4" fontId="14" fillId="2" borderId="30" xfId="0" applyNumberFormat="1" applyFont="1" applyFill="1" applyBorder="1" applyAlignment="1"/>
    <xf numFmtId="0" fontId="10" fillId="2" borderId="0" xfId="0" applyFont="1" applyFill="1" applyBorder="1" applyAlignment="1">
      <alignment horizontal="left"/>
    </xf>
    <xf numFmtId="4" fontId="11" fillId="2" borderId="0" xfId="0" applyNumberFormat="1" applyFont="1" applyFill="1" applyAlignment="1"/>
    <xf numFmtId="4" fontId="4" fillId="2" borderId="0" xfId="0" applyNumberFormat="1" applyFont="1" applyFill="1"/>
    <xf numFmtId="4" fontId="11" fillId="2" borderId="0" xfId="0" applyNumberFormat="1" applyFont="1" applyFill="1" applyBorder="1" applyAlignmen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196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71" t="s">
        <v>12</v>
      </c>
      <c r="B7" s="78">
        <v>2214900</v>
      </c>
      <c r="C7" s="79">
        <v>915692.82</v>
      </c>
      <c r="D7" s="79">
        <v>1255110</v>
      </c>
      <c r="E7" s="79">
        <v>1561505</v>
      </c>
      <c r="F7" s="79">
        <v>739776.6</v>
      </c>
      <c r="G7" s="79">
        <v>1243492.3500000001</v>
      </c>
      <c r="H7" s="79">
        <v>518286.6</v>
      </c>
      <c r="I7" s="79">
        <v>400869.97</v>
      </c>
      <c r="J7" s="79">
        <v>1033620</v>
      </c>
      <c r="K7" s="79">
        <v>496137.6</v>
      </c>
      <c r="L7" s="79">
        <v>671853</v>
      </c>
      <c r="M7" s="79">
        <v>1948159.59</v>
      </c>
      <c r="N7" s="80">
        <f>SUM(B7:M7)</f>
        <v>12999403.529999999</v>
      </c>
    </row>
    <row r="8" spans="1:14" x14ac:dyDescent="0.25">
      <c r="A8" s="72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3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72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3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72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3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72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3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72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3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72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3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72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3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72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3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72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3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72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3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4">
        <f t="shared" si="0"/>
        <v>128000</v>
      </c>
    </row>
    <row r="28" spans="1:14" x14ac:dyDescent="0.25">
      <c r="A28" s="72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5">
        <f t="shared" si="0"/>
        <v>100000</v>
      </c>
    </row>
    <row r="29" spans="1:14" x14ac:dyDescent="0.25">
      <c r="A29" s="73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4">
        <f t="shared" si="0"/>
        <v>10000</v>
      </c>
    </row>
    <row r="30" spans="1:14" x14ac:dyDescent="0.25">
      <c r="A30" s="72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5">
        <f t="shared" si="0"/>
        <v>80000</v>
      </c>
    </row>
    <row r="31" spans="1:14" x14ac:dyDescent="0.25">
      <c r="A31" s="73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4">
        <f t="shared" si="0"/>
        <v>50000</v>
      </c>
    </row>
    <row r="32" spans="1:14" x14ac:dyDescent="0.25">
      <c r="A32" s="72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5">
        <f t="shared" si="0"/>
        <v>10000</v>
      </c>
    </row>
    <row r="33" spans="1:14" x14ac:dyDescent="0.25">
      <c r="A33" s="73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4">
        <f t="shared" si="0"/>
        <v>50000</v>
      </c>
    </row>
    <row r="34" spans="1:14" x14ac:dyDescent="0.25">
      <c r="A34" s="72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5">
        <f t="shared" si="0"/>
        <v>40000</v>
      </c>
    </row>
    <row r="35" spans="1:14" x14ac:dyDescent="0.25">
      <c r="A35" s="73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4">
        <f t="shared" si="0"/>
        <v>25000</v>
      </c>
    </row>
    <row r="36" spans="1:14" x14ac:dyDescent="0.25">
      <c r="A36" s="72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5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5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5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4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5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4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5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4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5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5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4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5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4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5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4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5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4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5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4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5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4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5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4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5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4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5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5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5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6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7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195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8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7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8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59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8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3"/>
      <c r="C34" s="41"/>
      <c r="D34" s="64"/>
      <c r="E34" s="64"/>
      <c r="F34" s="64"/>
      <c r="G34" s="64"/>
      <c r="H34" s="47">
        <v>127665.96</v>
      </c>
      <c r="I34" s="64"/>
      <c r="J34" s="64"/>
      <c r="K34" s="64"/>
      <c r="L34" s="64"/>
      <c r="M34" s="64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8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8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8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60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8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60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8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60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8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60" t="s">
        <v>102</v>
      </c>
      <c r="C45" s="39"/>
      <c r="D45" s="44"/>
      <c r="E45" s="44"/>
      <c r="F45" s="44"/>
      <c r="G45" s="44"/>
      <c r="H45" s="44"/>
      <c r="I45" s="44"/>
      <c r="J45" s="69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61" t="s">
        <v>105</v>
      </c>
      <c r="B48" s="52"/>
      <c r="C48" s="40"/>
      <c r="D48" s="53"/>
      <c r="E48" s="53"/>
      <c r="F48" s="53"/>
      <c r="G48" s="53"/>
      <c r="H48" s="53"/>
      <c r="I48" s="53"/>
      <c r="J48" s="55"/>
      <c r="K48" s="56">
        <v>100000</v>
      </c>
      <c r="L48" s="53"/>
      <c r="M48" s="53"/>
      <c r="N48" s="22">
        <f t="shared" si="0"/>
        <v>100000</v>
      </c>
    </row>
    <row r="49" spans="1:14" x14ac:dyDescent="0.25">
      <c r="A49" s="62" t="s">
        <v>106</v>
      </c>
      <c r="C49" s="39"/>
      <c r="D49" s="44"/>
      <c r="E49" s="44"/>
      <c r="F49" s="44"/>
      <c r="G49" s="44"/>
      <c r="H49" s="44"/>
      <c r="I49" s="44"/>
      <c r="J49" s="44"/>
      <c r="K49" s="57">
        <v>607725</v>
      </c>
      <c r="L49" s="44"/>
      <c r="M49" s="44"/>
      <c r="N49" s="20">
        <f t="shared" si="0"/>
        <v>607725</v>
      </c>
    </row>
    <row r="50" spans="1:14" x14ac:dyDescent="0.25">
      <c r="A50" s="61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6">
        <v>17220</v>
      </c>
      <c r="L50" s="53"/>
      <c r="M50" s="53"/>
      <c r="N50" s="22">
        <f t="shared" si="0"/>
        <v>17220</v>
      </c>
    </row>
    <row r="51" spans="1:14" x14ac:dyDescent="0.25">
      <c r="A51" s="62" t="s">
        <v>108</v>
      </c>
      <c r="C51" s="39"/>
      <c r="D51" s="44"/>
      <c r="E51" s="44"/>
      <c r="F51" s="44"/>
      <c r="G51" s="44"/>
      <c r="H51" s="44"/>
      <c r="I51" s="44"/>
      <c r="J51" s="44"/>
      <c r="K51" s="57">
        <v>17220</v>
      </c>
      <c r="L51" s="44"/>
      <c r="M51" s="44"/>
      <c r="N51" s="20">
        <f t="shared" si="0"/>
        <v>17220</v>
      </c>
    </row>
    <row r="52" spans="1:14" x14ac:dyDescent="0.25">
      <c r="A52" s="61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6">
        <v>7380</v>
      </c>
      <c r="L52" s="53"/>
      <c r="M52" s="53"/>
      <c r="N52" s="22">
        <f t="shared" si="0"/>
        <v>7380</v>
      </c>
    </row>
    <row r="53" spans="1:14" x14ac:dyDescent="0.25">
      <c r="A53" s="62" t="s">
        <v>110</v>
      </c>
      <c r="C53" s="39"/>
      <c r="D53" s="44"/>
      <c r="E53" s="44"/>
      <c r="F53" s="44"/>
      <c r="G53" s="44"/>
      <c r="H53" s="44"/>
      <c r="I53" s="44"/>
      <c r="J53" s="44"/>
      <c r="K53" s="57">
        <v>10455</v>
      </c>
      <c r="L53" s="44"/>
      <c r="M53" s="44"/>
      <c r="N53" s="20">
        <f t="shared" si="0"/>
        <v>10455</v>
      </c>
    </row>
    <row r="54" spans="1:14" x14ac:dyDescent="0.25">
      <c r="A54" s="61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6">
        <v>11070</v>
      </c>
      <c r="L54" s="53"/>
      <c r="M54" s="53"/>
      <c r="N54" s="22">
        <f t="shared" si="0"/>
        <v>11070</v>
      </c>
    </row>
    <row r="55" spans="1:14" x14ac:dyDescent="0.25">
      <c r="A55" s="62" t="s">
        <v>112</v>
      </c>
      <c r="C55" s="39"/>
      <c r="D55" s="44"/>
      <c r="E55" s="44"/>
      <c r="F55" s="44"/>
      <c r="G55" s="44"/>
      <c r="H55" s="44"/>
      <c r="I55" s="44"/>
      <c r="J55" s="44"/>
      <c r="K55" s="57">
        <v>5535</v>
      </c>
      <c r="L55" s="44"/>
      <c r="M55" s="44"/>
      <c r="N55" s="20">
        <f t="shared" si="0"/>
        <v>5535</v>
      </c>
    </row>
    <row r="56" spans="1:14" x14ac:dyDescent="0.25">
      <c r="A56" s="61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6">
        <v>1230</v>
      </c>
      <c r="L56" s="53"/>
      <c r="M56" s="53"/>
      <c r="N56" s="22">
        <f t="shared" si="0"/>
        <v>1230</v>
      </c>
    </row>
    <row r="57" spans="1:14" x14ac:dyDescent="0.25">
      <c r="A57" s="60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8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60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8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60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8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60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8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60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70" t="s">
        <v>131</v>
      </c>
      <c r="B75" s="63"/>
      <c r="C75" s="41"/>
      <c r="D75" s="64"/>
      <c r="E75" s="64"/>
      <c r="F75" s="64"/>
      <c r="G75" s="64"/>
      <c r="H75" s="64"/>
      <c r="I75" s="64"/>
      <c r="J75" s="64"/>
      <c r="K75" s="64"/>
      <c r="L75" s="64"/>
      <c r="M75" s="32">
        <v>150000</v>
      </c>
      <c r="N75" s="33">
        <f t="shared" si="1"/>
        <v>150000</v>
      </c>
    </row>
    <row r="76" spans="1:14" ht="13.8" thickBot="1" x14ac:dyDescent="0.3">
      <c r="A76" s="65" t="s">
        <v>13</v>
      </c>
      <c r="B76" s="66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5"/>
  <sheetViews>
    <sheetView tabSelected="1" topLeftCell="A162" zoomScaleNormal="100" workbookViewId="0">
      <selection activeCell="N12" sqref="N12"/>
    </sheetView>
  </sheetViews>
  <sheetFormatPr defaultRowHeight="13.8" x14ac:dyDescent="0.3"/>
  <cols>
    <col min="1" max="1" width="8" style="85" customWidth="1"/>
    <col min="2" max="2" width="10.44140625" style="85" customWidth="1"/>
    <col min="3" max="3" width="42.5546875" style="85" customWidth="1"/>
    <col min="4" max="4" width="0.109375" style="85" hidden="1" customWidth="1"/>
    <col min="5" max="6" width="0.33203125" style="85" hidden="1" customWidth="1"/>
    <col min="7" max="7" width="0.109375" style="85" hidden="1" customWidth="1"/>
    <col min="8" max="8" width="1" style="85" hidden="1" customWidth="1"/>
    <col min="9" max="9" width="4.109375" style="85" hidden="1" customWidth="1"/>
    <col min="10" max="10" width="4.33203125" style="85" hidden="1" customWidth="1"/>
    <col min="11" max="11" width="22" style="131" customWidth="1"/>
    <col min="12" max="16384" width="8.88671875" style="85"/>
  </cols>
  <sheetData>
    <row r="1" spans="1:11" ht="26.25" customHeight="1" thickBot="1" x14ac:dyDescent="0.35">
      <c r="A1" s="129" t="s">
        <v>335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0.75" customHeight="1" thickBot="1" x14ac:dyDescent="0.35">
      <c r="A2" s="130" t="s">
        <v>218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27" customHeight="1" thickBot="1" x14ac:dyDescent="0.35">
      <c r="A3" s="93" t="s">
        <v>177</v>
      </c>
      <c r="B3" s="94" t="s">
        <v>191</v>
      </c>
      <c r="C3" s="96" t="s">
        <v>318</v>
      </c>
      <c r="D3" s="95" t="s">
        <v>217</v>
      </c>
      <c r="E3" s="95"/>
      <c r="F3" s="124" t="s">
        <v>193</v>
      </c>
      <c r="G3" s="124" t="s">
        <v>192</v>
      </c>
      <c r="H3" s="96" t="s">
        <v>173</v>
      </c>
      <c r="I3" s="124" t="s">
        <v>209</v>
      </c>
      <c r="J3" s="124" t="s">
        <v>234</v>
      </c>
      <c r="K3" s="132" t="s">
        <v>293</v>
      </c>
    </row>
    <row r="4" spans="1:11" ht="21.6" customHeight="1" thickBot="1" x14ac:dyDescent="0.35">
      <c r="A4" s="133"/>
      <c r="B4" s="134"/>
      <c r="C4" s="135" t="s">
        <v>180</v>
      </c>
      <c r="D4" s="136">
        <f>D5+D36+D38</f>
        <v>18920821.380000003</v>
      </c>
      <c r="E4" s="136">
        <f>E5+E36+E38</f>
        <v>2636298.54</v>
      </c>
      <c r="F4" s="136">
        <f>F5+F36+F38</f>
        <v>21512724.369999997</v>
      </c>
      <c r="G4" s="136">
        <f>G5+G36+G38</f>
        <v>22068000</v>
      </c>
      <c r="H4" s="136" t="s">
        <v>218</v>
      </c>
      <c r="I4" s="136">
        <f>I5+I36+I38</f>
        <v>29103300</v>
      </c>
      <c r="J4" s="136">
        <f>J5+J36+J38</f>
        <v>24284983.139999993</v>
      </c>
      <c r="K4" s="137">
        <f>K5+K36+K38</f>
        <v>28306000</v>
      </c>
    </row>
    <row r="5" spans="1:11" ht="18.600000000000001" customHeight="1" thickBot="1" x14ac:dyDescent="0.35">
      <c r="A5" s="138" t="s">
        <v>316</v>
      </c>
      <c r="B5" s="111"/>
      <c r="C5" s="128" t="s">
        <v>174</v>
      </c>
      <c r="D5" s="95">
        <f>SUM(D6:D30)</f>
        <v>17888750.670000002</v>
      </c>
      <c r="E5" s="95">
        <f>SUM(E6:E30)</f>
        <v>2636298.54</v>
      </c>
      <c r="F5" s="139">
        <f>SUM(F6:F30)</f>
        <v>20475049.209999997</v>
      </c>
      <c r="G5" s="139">
        <f>SUM(G6:G30)</f>
        <v>21850000</v>
      </c>
      <c r="H5" s="106" t="s">
        <v>218</v>
      </c>
      <c r="I5" s="139">
        <f>SUM(I6:I33)</f>
        <v>28853300</v>
      </c>
      <c r="J5" s="139">
        <f>SUM(J6:J33)</f>
        <v>23773500.369999994</v>
      </c>
      <c r="K5" s="140">
        <f>SUM(K6:K35)</f>
        <v>27201000</v>
      </c>
    </row>
    <row r="6" spans="1:11" x14ac:dyDescent="0.3">
      <c r="A6" s="141"/>
      <c r="B6" s="100">
        <v>1</v>
      </c>
      <c r="C6" s="101" t="s">
        <v>159</v>
      </c>
      <c r="D6" s="114">
        <v>4026554.14</v>
      </c>
      <c r="E6" s="114">
        <v>641654.54</v>
      </c>
      <c r="F6" s="142">
        <f>SUM(D6:E6)</f>
        <v>4668208.68</v>
      </c>
      <c r="G6" s="143">
        <v>4700000</v>
      </c>
      <c r="H6" s="102">
        <f t="shared" ref="H6:H42" si="0">G6/F6*100</f>
        <v>100.68101754182935</v>
      </c>
      <c r="I6" s="143">
        <v>5500000</v>
      </c>
      <c r="J6" s="143">
        <v>5372309.2000000002</v>
      </c>
      <c r="K6" s="144">
        <v>5500000</v>
      </c>
    </row>
    <row r="7" spans="1:11" x14ac:dyDescent="0.3">
      <c r="A7" s="145"/>
      <c r="B7" s="86">
        <v>2</v>
      </c>
      <c r="C7" s="87" t="s">
        <v>160</v>
      </c>
      <c r="D7" s="81">
        <v>3256742.1</v>
      </c>
      <c r="E7" s="81">
        <v>230000</v>
      </c>
      <c r="F7" s="146">
        <f>SUM(D7:E7)</f>
        <v>3486742.1</v>
      </c>
      <c r="G7" s="147">
        <v>4100000</v>
      </c>
      <c r="H7" s="83">
        <f t="shared" si="0"/>
        <v>117.58827818094146</v>
      </c>
      <c r="I7" s="147">
        <v>6000000</v>
      </c>
      <c r="J7" s="147">
        <v>5878389.25</v>
      </c>
      <c r="K7" s="148">
        <v>7000000</v>
      </c>
    </row>
    <row r="8" spans="1:11" x14ac:dyDescent="0.3">
      <c r="A8" s="145"/>
      <c r="B8" s="86">
        <v>3</v>
      </c>
      <c r="C8" s="87" t="s">
        <v>161</v>
      </c>
      <c r="D8" s="81">
        <v>4262.6400000000003</v>
      </c>
      <c r="E8" s="81">
        <v>644</v>
      </c>
      <c r="F8" s="146">
        <f t="shared" ref="F8:F29" si="1">SUM(D8:E8)</f>
        <v>4906.6400000000003</v>
      </c>
      <c r="G8" s="147">
        <v>5000</v>
      </c>
      <c r="H8" s="83">
        <f t="shared" si="0"/>
        <v>101.90272773221594</v>
      </c>
      <c r="I8" s="147">
        <v>7500</v>
      </c>
      <c r="J8" s="147">
        <v>7920</v>
      </c>
      <c r="K8" s="148">
        <v>10000</v>
      </c>
    </row>
    <row r="9" spans="1:11" x14ac:dyDescent="0.3">
      <c r="A9" s="145"/>
      <c r="B9" s="86">
        <v>4</v>
      </c>
      <c r="C9" s="87" t="s">
        <v>162</v>
      </c>
      <c r="D9" s="81">
        <v>2415911.23</v>
      </c>
      <c r="E9" s="81">
        <v>440000</v>
      </c>
      <c r="F9" s="146">
        <f t="shared" si="1"/>
        <v>2855911.23</v>
      </c>
      <c r="G9" s="147">
        <v>3000000</v>
      </c>
      <c r="H9" s="83">
        <f t="shared" si="0"/>
        <v>105.04528181711026</v>
      </c>
      <c r="I9" s="147">
        <v>3000000</v>
      </c>
      <c r="J9" s="147">
        <v>2980141.1</v>
      </c>
      <c r="K9" s="148">
        <v>3000000</v>
      </c>
    </row>
    <row r="10" spans="1:11" x14ac:dyDescent="0.3">
      <c r="A10" s="145"/>
      <c r="B10" s="86">
        <v>5</v>
      </c>
      <c r="C10" s="87" t="s">
        <v>163</v>
      </c>
      <c r="D10" s="81">
        <v>78745.64</v>
      </c>
      <c r="E10" s="81">
        <v>10000</v>
      </c>
      <c r="F10" s="146">
        <f t="shared" si="1"/>
        <v>88745.64</v>
      </c>
      <c r="G10" s="147">
        <v>200000</v>
      </c>
      <c r="H10" s="83">
        <f t="shared" si="0"/>
        <v>225.36318403923846</v>
      </c>
      <c r="I10" s="147">
        <v>350000</v>
      </c>
      <c r="J10" s="147">
        <v>328367.2</v>
      </c>
      <c r="K10" s="148">
        <v>350000</v>
      </c>
    </row>
    <row r="11" spans="1:11" x14ac:dyDescent="0.3">
      <c r="A11" s="145"/>
      <c r="B11" s="86">
        <v>6</v>
      </c>
      <c r="C11" s="87" t="s">
        <v>164</v>
      </c>
      <c r="D11" s="81">
        <v>323710</v>
      </c>
      <c r="E11" s="81">
        <v>100000</v>
      </c>
      <c r="F11" s="146">
        <f t="shared" si="1"/>
        <v>423710</v>
      </c>
      <c r="G11" s="147">
        <v>750000</v>
      </c>
      <c r="H11" s="83">
        <f t="shared" si="0"/>
        <v>177.00785914894621</v>
      </c>
      <c r="I11" s="147">
        <v>70000</v>
      </c>
      <c r="J11" s="147">
        <v>0</v>
      </c>
      <c r="K11" s="148">
        <v>150000</v>
      </c>
    </row>
    <row r="12" spans="1:11" x14ac:dyDescent="0.3">
      <c r="A12" s="145"/>
      <c r="B12" s="86">
        <v>7</v>
      </c>
      <c r="C12" s="87" t="s">
        <v>165</v>
      </c>
      <c r="D12" s="81">
        <v>23301.94</v>
      </c>
      <c r="E12" s="81">
        <v>4000</v>
      </c>
      <c r="F12" s="146">
        <f t="shared" si="1"/>
        <v>27301.94</v>
      </c>
      <c r="G12" s="147">
        <v>50000</v>
      </c>
      <c r="H12" s="83">
        <f t="shared" si="0"/>
        <v>183.13716900703761</v>
      </c>
      <c r="I12" s="147">
        <v>10000</v>
      </c>
      <c r="J12" s="147">
        <v>16683.2</v>
      </c>
      <c r="K12" s="148">
        <v>10000</v>
      </c>
    </row>
    <row r="13" spans="1:11" x14ac:dyDescent="0.3">
      <c r="A13" s="145"/>
      <c r="B13" s="86">
        <v>8</v>
      </c>
      <c r="C13" s="87" t="s">
        <v>239</v>
      </c>
      <c r="D13" s="81"/>
      <c r="E13" s="81"/>
      <c r="F13" s="146"/>
      <c r="G13" s="147"/>
      <c r="H13" s="83"/>
      <c r="I13" s="147"/>
      <c r="J13" s="147"/>
      <c r="K13" s="148">
        <v>10000</v>
      </c>
    </row>
    <row r="14" spans="1:11" x14ac:dyDescent="0.3">
      <c r="A14" s="149"/>
      <c r="B14" s="86">
        <v>9</v>
      </c>
      <c r="C14" s="87" t="s">
        <v>166</v>
      </c>
      <c r="D14" s="81">
        <v>19798.939999999999</v>
      </c>
      <c r="E14" s="81">
        <v>3000</v>
      </c>
      <c r="F14" s="146">
        <f t="shared" si="1"/>
        <v>22798.94</v>
      </c>
      <c r="G14" s="147">
        <v>23000</v>
      </c>
      <c r="H14" s="83">
        <f t="shared" si="0"/>
        <v>100.88188310509175</v>
      </c>
      <c r="I14" s="147">
        <v>35000</v>
      </c>
      <c r="J14" s="147">
        <v>25405.94</v>
      </c>
      <c r="K14" s="148">
        <v>40000</v>
      </c>
    </row>
    <row r="15" spans="1:11" x14ac:dyDescent="0.3">
      <c r="A15" s="145"/>
      <c r="B15" s="86">
        <v>10</v>
      </c>
      <c r="C15" s="87" t="s">
        <v>167</v>
      </c>
      <c r="D15" s="81">
        <v>419097.21</v>
      </c>
      <c r="E15" s="81">
        <v>80000</v>
      </c>
      <c r="F15" s="146">
        <f t="shared" si="1"/>
        <v>499097.21</v>
      </c>
      <c r="G15" s="147">
        <v>500000</v>
      </c>
      <c r="H15" s="83">
        <f t="shared" si="0"/>
        <v>100.18088460161898</v>
      </c>
      <c r="I15" s="147">
        <v>500000</v>
      </c>
      <c r="J15" s="147">
        <v>428679.16</v>
      </c>
      <c r="K15" s="148">
        <v>400000</v>
      </c>
    </row>
    <row r="16" spans="1:11" x14ac:dyDescent="0.3">
      <c r="A16" s="145"/>
      <c r="B16" s="86">
        <v>11</v>
      </c>
      <c r="C16" s="87" t="s">
        <v>259</v>
      </c>
      <c r="D16" s="81">
        <v>2149096.4500000002</v>
      </c>
      <c r="E16" s="81">
        <v>300000</v>
      </c>
      <c r="F16" s="146">
        <f t="shared" si="1"/>
        <v>2449096.4500000002</v>
      </c>
      <c r="G16" s="147">
        <v>2500000</v>
      </c>
      <c r="H16" s="83">
        <f t="shared" si="0"/>
        <v>102.07846244683421</v>
      </c>
      <c r="I16" s="147">
        <v>1700000</v>
      </c>
      <c r="J16" s="147">
        <v>1644322.8</v>
      </c>
      <c r="K16" s="148">
        <v>2000000</v>
      </c>
    </row>
    <row r="17" spans="1:11" x14ac:dyDescent="0.3">
      <c r="A17" s="145"/>
      <c r="B17" s="86">
        <v>12</v>
      </c>
      <c r="C17" s="87" t="s">
        <v>168</v>
      </c>
      <c r="D17" s="81">
        <v>305457.7</v>
      </c>
      <c r="E17" s="81">
        <v>0</v>
      </c>
      <c r="F17" s="146">
        <f t="shared" si="1"/>
        <v>305457.7</v>
      </c>
      <c r="G17" s="147">
        <v>310000</v>
      </c>
      <c r="H17" s="83">
        <f t="shared" si="0"/>
        <v>101.48704714269765</v>
      </c>
      <c r="I17" s="147">
        <v>380000</v>
      </c>
      <c r="J17" s="147">
        <v>326156.36</v>
      </c>
      <c r="K17" s="148">
        <v>300000</v>
      </c>
    </row>
    <row r="18" spans="1:11" x14ac:dyDescent="0.3">
      <c r="A18" s="145"/>
      <c r="B18" s="86">
        <v>13</v>
      </c>
      <c r="C18" s="91" t="s">
        <v>235</v>
      </c>
      <c r="D18" s="81">
        <v>120028.88</v>
      </c>
      <c r="E18" s="81">
        <v>20000</v>
      </c>
      <c r="F18" s="146">
        <f>SUM(D18:E18)</f>
        <v>140028.88</v>
      </c>
      <c r="G18" s="147">
        <v>150000</v>
      </c>
      <c r="H18" s="83">
        <f t="shared" si="0"/>
        <v>107.12075966043575</v>
      </c>
      <c r="I18" s="147">
        <v>160000</v>
      </c>
      <c r="J18" s="147">
        <v>158847.81</v>
      </c>
      <c r="K18" s="148">
        <v>300000</v>
      </c>
    </row>
    <row r="19" spans="1:11" x14ac:dyDescent="0.3">
      <c r="A19" s="145"/>
      <c r="B19" s="86">
        <v>14</v>
      </c>
      <c r="C19" s="87" t="s">
        <v>228</v>
      </c>
      <c r="D19" s="81">
        <v>967290</v>
      </c>
      <c r="E19" s="81">
        <v>150000</v>
      </c>
      <c r="F19" s="146">
        <f t="shared" si="1"/>
        <v>1117290</v>
      </c>
      <c r="G19" s="147">
        <v>300000</v>
      </c>
      <c r="H19" s="83">
        <f t="shared" si="0"/>
        <v>26.850683349891252</v>
      </c>
      <c r="I19" s="147">
        <v>1500000</v>
      </c>
      <c r="J19" s="147">
        <v>1425017</v>
      </c>
      <c r="K19" s="148">
        <v>1600000</v>
      </c>
    </row>
    <row r="20" spans="1:11" x14ac:dyDescent="0.3">
      <c r="A20" s="145"/>
      <c r="B20" s="86">
        <v>15</v>
      </c>
      <c r="C20" s="87" t="s">
        <v>194</v>
      </c>
      <c r="D20" s="81">
        <v>32006.51</v>
      </c>
      <c r="E20" s="81">
        <v>5000</v>
      </c>
      <c r="F20" s="146">
        <f t="shared" si="1"/>
        <v>37006.509999999995</v>
      </c>
      <c r="G20" s="147">
        <v>60000</v>
      </c>
      <c r="H20" s="83">
        <f t="shared" si="0"/>
        <v>162.13363540631096</v>
      </c>
      <c r="I20" s="147">
        <v>50000</v>
      </c>
      <c r="J20" s="147">
        <v>22894.400000000001</v>
      </c>
      <c r="K20" s="148">
        <v>50000</v>
      </c>
    </row>
    <row r="21" spans="1:11" x14ac:dyDescent="0.3">
      <c r="A21" s="145"/>
      <c r="B21" s="86">
        <v>16</v>
      </c>
      <c r="C21" s="87" t="s">
        <v>233</v>
      </c>
      <c r="D21" s="81">
        <v>692300.28</v>
      </c>
      <c r="E21" s="81">
        <v>50000</v>
      </c>
      <c r="F21" s="146">
        <f t="shared" si="1"/>
        <v>742300.28</v>
      </c>
      <c r="G21" s="147">
        <v>750000</v>
      </c>
      <c r="H21" s="83">
        <f t="shared" si="0"/>
        <v>101.03727833700937</v>
      </c>
      <c r="I21" s="147">
        <v>600000</v>
      </c>
      <c r="J21" s="147">
        <v>560704.79</v>
      </c>
      <c r="K21" s="148">
        <v>300000</v>
      </c>
    </row>
    <row r="22" spans="1:11" x14ac:dyDescent="0.3">
      <c r="A22" s="145"/>
      <c r="B22" s="86">
        <v>17</v>
      </c>
      <c r="C22" s="87" t="s">
        <v>169</v>
      </c>
      <c r="D22" s="81">
        <v>10000</v>
      </c>
      <c r="E22" s="81">
        <v>2000</v>
      </c>
      <c r="F22" s="146">
        <f t="shared" si="1"/>
        <v>12000</v>
      </c>
      <c r="G22" s="147">
        <f>F22</f>
        <v>12000</v>
      </c>
      <c r="H22" s="83">
        <f t="shared" si="0"/>
        <v>100</v>
      </c>
      <c r="I22" s="147">
        <v>12000</v>
      </c>
      <c r="J22" s="147">
        <v>12000</v>
      </c>
      <c r="K22" s="148">
        <v>12000</v>
      </c>
    </row>
    <row r="23" spans="1:11" x14ac:dyDescent="0.3">
      <c r="A23" s="145"/>
      <c r="B23" s="86">
        <v>18</v>
      </c>
      <c r="C23" s="87" t="s">
        <v>216</v>
      </c>
      <c r="D23" s="81">
        <v>159230.39999999999</v>
      </c>
      <c r="E23" s="81">
        <v>20000</v>
      </c>
      <c r="F23" s="146">
        <f t="shared" si="1"/>
        <v>179230.4</v>
      </c>
      <c r="G23" s="147">
        <v>180000</v>
      </c>
      <c r="H23" s="83">
        <f t="shared" si="0"/>
        <v>100.42939144252314</v>
      </c>
      <c r="I23" s="147">
        <v>4700000</v>
      </c>
      <c r="J23" s="147">
        <v>672800</v>
      </c>
      <c r="K23" s="148">
        <v>500000</v>
      </c>
    </row>
    <row r="24" spans="1:11" x14ac:dyDescent="0.3">
      <c r="A24" s="145"/>
      <c r="B24" s="86">
        <v>19</v>
      </c>
      <c r="C24" s="87" t="s">
        <v>215</v>
      </c>
      <c r="D24" s="81"/>
      <c r="E24" s="81"/>
      <c r="F24" s="146"/>
      <c r="G24" s="147"/>
      <c r="H24" s="83"/>
      <c r="I24" s="147">
        <v>150000</v>
      </c>
      <c r="J24" s="147">
        <v>210737.84</v>
      </c>
      <c r="K24" s="148">
        <v>200000</v>
      </c>
    </row>
    <row r="25" spans="1:11" x14ac:dyDescent="0.3">
      <c r="A25" s="145"/>
      <c r="B25" s="86">
        <v>20</v>
      </c>
      <c r="C25" s="87" t="s">
        <v>224</v>
      </c>
      <c r="D25" s="81"/>
      <c r="E25" s="81"/>
      <c r="F25" s="146"/>
      <c r="G25" s="147"/>
      <c r="H25" s="83"/>
      <c r="I25" s="147">
        <v>5000</v>
      </c>
      <c r="J25" s="147">
        <v>4676.3999999999996</v>
      </c>
      <c r="K25" s="148">
        <v>15000</v>
      </c>
    </row>
    <row r="26" spans="1:11" x14ac:dyDescent="0.3">
      <c r="A26" s="145"/>
      <c r="B26" s="86">
        <v>21</v>
      </c>
      <c r="C26" s="87" t="s">
        <v>319</v>
      </c>
      <c r="D26" s="81">
        <v>205135.3</v>
      </c>
      <c r="E26" s="81">
        <v>50000</v>
      </c>
      <c r="F26" s="146">
        <f t="shared" si="1"/>
        <v>255135.3</v>
      </c>
      <c r="G26" s="147">
        <v>290000</v>
      </c>
      <c r="H26" s="83">
        <f t="shared" si="0"/>
        <v>113.66518078838953</v>
      </c>
      <c r="I26" s="147">
        <v>560000</v>
      </c>
      <c r="J26" s="150">
        <v>275680</v>
      </c>
      <c r="K26" s="148">
        <f>400000*0.8</f>
        <v>320000</v>
      </c>
    </row>
    <row r="27" spans="1:11" x14ac:dyDescent="0.3">
      <c r="A27" s="145"/>
      <c r="B27" s="86">
        <v>22</v>
      </c>
      <c r="C27" s="87" t="s">
        <v>320</v>
      </c>
      <c r="D27" s="81">
        <v>1140722.99</v>
      </c>
      <c r="E27" s="81">
        <v>150000</v>
      </c>
      <c r="F27" s="146">
        <f t="shared" si="1"/>
        <v>1290722.99</v>
      </c>
      <c r="G27" s="147">
        <v>1290000</v>
      </c>
      <c r="H27" s="83">
        <f t="shared" si="0"/>
        <v>99.943985657216814</v>
      </c>
      <c r="I27" s="147">
        <v>700000</v>
      </c>
      <c r="J27" s="150">
        <v>827816.2</v>
      </c>
      <c r="K27" s="148">
        <f>1600000*0.8</f>
        <v>1280000</v>
      </c>
    </row>
    <row r="28" spans="1:11" x14ac:dyDescent="0.3">
      <c r="A28" s="145"/>
      <c r="B28" s="86">
        <v>23</v>
      </c>
      <c r="C28" s="87" t="s">
        <v>321</v>
      </c>
      <c r="D28" s="81">
        <v>474900.59</v>
      </c>
      <c r="E28" s="81">
        <v>150000</v>
      </c>
      <c r="F28" s="146">
        <f t="shared" si="1"/>
        <v>624900.59000000008</v>
      </c>
      <c r="G28" s="147">
        <v>1200000</v>
      </c>
      <c r="H28" s="83">
        <f t="shared" si="0"/>
        <v>192.03054361014443</v>
      </c>
      <c r="I28" s="147">
        <v>796000</v>
      </c>
      <c r="J28" s="150">
        <v>997604.96</v>
      </c>
      <c r="K28" s="148">
        <f>1500000*0.8</f>
        <v>1200000</v>
      </c>
    </row>
    <row r="29" spans="1:11" x14ac:dyDescent="0.3">
      <c r="A29" s="145"/>
      <c r="B29" s="86">
        <v>24</v>
      </c>
      <c r="C29" s="87" t="s">
        <v>322</v>
      </c>
      <c r="D29" s="81">
        <v>1064457.73</v>
      </c>
      <c r="E29" s="81">
        <v>180000</v>
      </c>
      <c r="F29" s="146">
        <f t="shared" si="1"/>
        <v>1244457.73</v>
      </c>
      <c r="G29" s="147">
        <v>1480000</v>
      </c>
      <c r="H29" s="83">
        <f t="shared" si="0"/>
        <v>118.92730177343991</v>
      </c>
      <c r="I29" s="147">
        <v>1092800</v>
      </c>
      <c r="J29" s="150">
        <v>1089594.76</v>
      </c>
      <c r="K29" s="148">
        <f>1075000*0.8</f>
        <v>860000</v>
      </c>
    </row>
    <row r="30" spans="1:11" x14ac:dyDescent="0.3">
      <c r="A30" s="145"/>
      <c r="B30" s="86">
        <v>25</v>
      </c>
      <c r="C30" s="87" t="s">
        <v>323</v>
      </c>
      <c r="D30" s="81">
        <v>0</v>
      </c>
      <c r="E30" s="81">
        <v>50000</v>
      </c>
      <c r="F30" s="146"/>
      <c r="G30" s="147"/>
      <c r="H30" s="83" t="e">
        <f t="shared" si="0"/>
        <v>#DIV/0!</v>
      </c>
      <c r="I30" s="147">
        <v>600000</v>
      </c>
      <c r="J30" s="150">
        <v>292336</v>
      </c>
      <c r="K30" s="148">
        <f>900000*0.8</f>
        <v>720000</v>
      </c>
    </row>
    <row r="31" spans="1:11" x14ac:dyDescent="0.3">
      <c r="A31" s="145"/>
      <c r="B31" s="86">
        <v>26</v>
      </c>
      <c r="C31" s="87" t="s">
        <v>324</v>
      </c>
      <c r="D31" s="81">
        <v>0</v>
      </c>
      <c r="E31" s="81">
        <v>50000</v>
      </c>
      <c r="F31" s="146">
        <f>SUM(D31:E31)</f>
        <v>50000</v>
      </c>
      <c r="G31" s="147">
        <v>335999</v>
      </c>
      <c r="H31" s="83">
        <f>G31/F31*100</f>
        <v>671.99799999999993</v>
      </c>
      <c r="I31" s="147">
        <v>160000</v>
      </c>
      <c r="J31" s="147">
        <v>0</v>
      </c>
      <c r="K31" s="148">
        <f>30000*0.8</f>
        <v>24000</v>
      </c>
    </row>
    <row r="32" spans="1:11" x14ac:dyDescent="0.3">
      <c r="A32" s="145"/>
      <c r="B32" s="86">
        <v>27</v>
      </c>
      <c r="C32" s="87" t="s">
        <v>325</v>
      </c>
      <c r="D32" s="81"/>
      <c r="E32" s="81"/>
      <c r="F32" s="146"/>
      <c r="G32" s="147"/>
      <c r="H32" s="83"/>
      <c r="I32" s="147">
        <v>75000</v>
      </c>
      <c r="J32" s="147">
        <v>74416</v>
      </c>
      <c r="K32" s="148">
        <v>70000</v>
      </c>
    </row>
    <row r="33" spans="1:11" x14ac:dyDescent="0.3">
      <c r="A33" s="145"/>
      <c r="B33" s="86">
        <v>28</v>
      </c>
      <c r="C33" s="87" t="s">
        <v>326</v>
      </c>
      <c r="D33" s="81">
        <v>0</v>
      </c>
      <c r="E33" s="81">
        <v>50000</v>
      </c>
      <c r="F33" s="146">
        <f>SUM(D33:E33)</f>
        <v>50000</v>
      </c>
      <c r="G33" s="147">
        <v>336000</v>
      </c>
      <c r="H33" s="83">
        <f>G33/F33*100</f>
        <v>672</v>
      </c>
      <c r="I33" s="147">
        <v>140000</v>
      </c>
      <c r="J33" s="147">
        <v>140000</v>
      </c>
      <c r="K33" s="148">
        <f>300000*0.8</f>
        <v>240000</v>
      </c>
    </row>
    <row r="34" spans="1:11" x14ac:dyDescent="0.3">
      <c r="A34" s="145"/>
      <c r="B34" s="86">
        <v>29</v>
      </c>
      <c r="C34" s="87" t="s">
        <v>327</v>
      </c>
      <c r="D34" s="81"/>
      <c r="E34" s="81"/>
      <c r="F34" s="146"/>
      <c r="G34" s="147"/>
      <c r="H34" s="83"/>
      <c r="I34" s="147"/>
      <c r="J34" s="147"/>
      <c r="K34" s="148">
        <f>300000*0.8</f>
        <v>240000</v>
      </c>
    </row>
    <row r="35" spans="1:11" ht="14.4" thickBot="1" x14ac:dyDescent="0.35">
      <c r="A35" s="151"/>
      <c r="B35" s="97">
        <v>30</v>
      </c>
      <c r="C35" s="98" t="s">
        <v>261</v>
      </c>
      <c r="D35" s="118"/>
      <c r="E35" s="118"/>
      <c r="F35" s="152"/>
      <c r="G35" s="153"/>
      <c r="H35" s="99"/>
      <c r="I35" s="153"/>
      <c r="J35" s="153"/>
      <c r="K35" s="154">
        <v>500000</v>
      </c>
    </row>
    <row r="36" spans="1:11" ht="14.4" thickBot="1" x14ac:dyDescent="0.35">
      <c r="A36" s="155" t="s">
        <v>248</v>
      </c>
      <c r="B36" s="103"/>
      <c r="C36" s="104" t="s">
        <v>170</v>
      </c>
      <c r="D36" s="105">
        <f>SUM(D37)</f>
        <v>11667.71</v>
      </c>
      <c r="E36" s="105"/>
      <c r="F36" s="156">
        <f>SUM(F37)</f>
        <v>17272.16</v>
      </c>
      <c r="G36" s="156">
        <f>SUM(G37)</f>
        <v>18000</v>
      </c>
      <c r="H36" s="106">
        <f t="shared" si="0"/>
        <v>104.21394892126983</v>
      </c>
      <c r="I36" s="156">
        <f>SUM(I37)</f>
        <v>50000</v>
      </c>
      <c r="J36" s="156">
        <f>SUM(J37)</f>
        <v>96277.79</v>
      </c>
      <c r="K36" s="157">
        <f>SUM(K37)</f>
        <v>200000</v>
      </c>
    </row>
    <row r="37" spans="1:11" ht="14.4" thickBot="1" x14ac:dyDescent="0.35">
      <c r="A37" s="158"/>
      <c r="B37" s="107">
        <v>1</v>
      </c>
      <c r="C37" s="108" t="s">
        <v>226</v>
      </c>
      <c r="D37" s="126">
        <v>11667.71</v>
      </c>
      <c r="E37" s="126">
        <v>5604.45</v>
      </c>
      <c r="F37" s="159">
        <f>SUM(D37:E37)</f>
        <v>17272.16</v>
      </c>
      <c r="G37" s="160">
        <v>18000</v>
      </c>
      <c r="H37" s="109">
        <f t="shared" si="0"/>
        <v>104.21394892126983</v>
      </c>
      <c r="I37" s="160">
        <v>50000</v>
      </c>
      <c r="J37" s="160">
        <v>96277.79</v>
      </c>
      <c r="K37" s="161">
        <v>200000</v>
      </c>
    </row>
    <row r="38" spans="1:11" ht="17.399999999999999" customHeight="1" thickBot="1" x14ac:dyDescent="0.35">
      <c r="A38" s="155" t="s">
        <v>249</v>
      </c>
      <c r="B38" s="110"/>
      <c r="C38" s="104" t="s">
        <v>171</v>
      </c>
      <c r="D38" s="105">
        <f>SUM(D39:D39)</f>
        <v>1020403</v>
      </c>
      <c r="E38" s="105">
        <f>SUM(E39:E39)</f>
        <v>0</v>
      </c>
      <c r="F38" s="156">
        <f>SUM(F39:F39)</f>
        <v>1020403</v>
      </c>
      <c r="G38" s="156">
        <f>SUM(G39:G39)</f>
        <v>200000</v>
      </c>
      <c r="H38" s="106">
        <f t="shared" si="0"/>
        <v>19.600099176501836</v>
      </c>
      <c r="I38" s="156">
        <f>SUM(I39:I39)</f>
        <v>200000</v>
      </c>
      <c r="J38" s="156">
        <f>SUM(J39:J39)</f>
        <v>415204.98</v>
      </c>
      <c r="K38" s="157">
        <f>SUM(K39:K41)</f>
        <v>905000</v>
      </c>
    </row>
    <row r="39" spans="1:11" x14ac:dyDescent="0.3">
      <c r="A39" s="141"/>
      <c r="B39" s="100">
        <v>1</v>
      </c>
      <c r="C39" s="101" t="s">
        <v>227</v>
      </c>
      <c r="D39" s="114">
        <v>1020403</v>
      </c>
      <c r="E39" s="114">
        <v>0</v>
      </c>
      <c r="F39" s="142">
        <f>SUM(D39:E39)</f>
        <v>1020403</v>
      </c>
      <c r="G39" s="143">
        <v>200000</v>
      </c>
      <c r="H39" s="102">
        <f t="shared" si="0"/>
        <v>19.600099176501836</v>
      </c>
      <c r="I39" s="143">
        <v>200000</v>
      </c>
      <c r="J39" s="143">
        <f>13018.63+384856.42+17329.93</f>
        <v>415204.98</v>
      </c>
      <c r="K39" s="162">
        <v>400000</v>
      </c>
    </row>
    <row r="40" spans="1:11" x14ac:dyDescent="0.3">
      <c r="A40" s="145"/>
      <c r="B40" s="86">
        <v>2</v>
      </c>
      <c r="C40" s="87" t="s">
        <v>262</v>
      </c>
      <c r="D40" s="81"/>
      <c r="E40" s="81"/>
      <c r="F40" s="146"/>
      <c r="G40" s="147"/>
      <c r="H40" s="83"/>
      <c r="I40" s="147"/>
      <c r="J40" s="147"/>
      <c r="K40" s="163">
        <v>5000</v>
      </c>
    </row>
    <row r="41" spans="1:11" ht="14.4" thickBot="1" x14ac:dyDescent="0.35">
      <c r="A41" s="151"/>
      <c r="B41" s="97">
        <v>3</v>
      </c>
      <c r="C41" s="98" t="s">
        <v>284</v>
      </c>
      <c r="D41" s="118"/>
      <c r="E41" s="118"/>
      <c r="F41" s="152"/>
      <c r="G41" s="153"/>
      <c r="H41" s="99"/>
      <c r="I41" s="153"/>
      <c r="J41" s="153"/>
      <c r="K41" s="164">
        <v>500000</v>
      </c>
    </row>
    <row r="42" spans="1:11" ht="23.4" customHeight="1" thickBot="1" x14ac:dyDescent="0.35">
      <c r="A42" s="155"/>
      <c r="B42" s="110"/>
      <c r="C42" s="104" t="s">
        <v>178</v>
      </c>
      <c r="D42" s="105" t="e">
        <f>SUM(D38,D36,#REF!,D5)</f>
        <v>#REF!</v>
      </c>
      <c r="E42" s="105" t="e">
        <f>SUM(E38,E36,#REF!,E5)</f>
        <v>#REF!</v>
      </c>
      <c r="F42" s="156" t="e">
        <f>SUM(F38,F36,#REF!,F5)</f>
        <v>#REF!</v>
      </c>
      <c r="G42" s="156" t="e">
        <f>SUM(G38,G36,#REF!,G5)</f>
        <v>#REF!</v>
      </c>
      <c r="H42" s="106" t="e">
        <f t="shared" si="0"/>
        <v>#REF!</v>
      </c>
      <c r="I42" s="156">
        <f>I4</f>
        <v>29103300</v>
      </c>
      <c r="J42" s="156">
        <f>SUM(J5+J36+J38)</f>
        <v>24284983.139999993</v>
      </c>
      <c r="K42" s="165">
        <f>K4</f>
        <v>28306000</v>
      </c>
    </row>
    <row r="43" spans="1:11" ht="33.6" customHeight="1" thickBot="1" x14ac:dyDescent="0.35">
      <c r="A43" s="93" t="s">
        <v>177</v>
      </c>
      <c r="B43" s="94" t="s">
        <v>191</v>
      </c>
      <c r="C43" s="96" t="s">
        <v>317</v>
      </c>
      <c r="D43" s="95" t="s">
        <v>217</v>
      </c>
      <c r="E43" s="95"/>
      <c r="F43" s="124" t="s">
        <v>193</v>
      </c>
      <c r="G43" s="124" t="s">
        <v>192</v>
      </c>
      <c r="H43" s="96" t="s">
        <v>173</v>
      </c>
      <c r="I43" s="124" t="s">
        <v>209</v>
      </c>
      <c r="J43" s="124" t="s">
        <v>234</v>
      </c>
      <c r="K43" s="166" t="s">
        <v>293</v>
      </c>
    </row>
    <row r="44" spans="1:11" ht="21.6" customHeight="1" thickBot="1" x14ac:dyDescent="0.35">
      <c r="A44" s="167"/>
      <c r="B44" s="168"/>
      <c r="C44" s="115" t="s">
        <v>179</v>
      </c>
      <c r="D44" s="105" t="e">
        <f>SUM(D173)</f>
        <v>#REF!</v>
      </c>
      <c r="E44" s="105" t="e">
        <f>SUM(E173)</f>
        <v>#REF!</v>
      </c>
      <c r="F44" s="105" t="e">
        <f>SUM(F173)</f>
        <v>#REF!</v>
      </c>
      <c r="G44" s="105" t="e">
        <f>SUM(G173)</f>
        <v>#REF!</v>
      </c>
      <c r="H44" s="106" t="e">
        <f t="shared" ref="H44:H62" si="2">G44/F44*100</f>
        <v>#REF!</v>
      </c>
      <c r="I44" s="105">
        <f ca="1">I45+I78+I94+I130+I149+I158+I161+I164</f>
        <v>23343400</v>
      </c>
      <c r="J44" s="105">
        <f ca="1">J45+J78+J94+J130+J149+J158+J161+J164</f>
        <v>19426224.699999999</v>
      </c>
      <c r="K44" s="169">
        <f>+K45+K78+K94+K130+K138+K147+K149+K158+K161+K164+K170</f>
        <v>27525600</v>
      </c>
    </row>
    <row r="45" spans="1:11" ht="14.4" thickBot="1" x14ac:dyDescent="0.35">
      <c r="A45" s="155" t="s">
        <v>250</v>
      </c>
      <c r="B45" s="103"/>
      <c r="C45" s="115" t="s">
        <v>145</v>
      </c>
      <c r="D45" s="105">
        <f>SUM(D46:D74)</f>
        <v>921963.62</v>
      </c>
      <c r="E45" s="105">
        <f>SUM(E46:E74)</f>
        <v>305760.71999999997</v>
      </c>
      <c r="F45" s="156">
        <f>SUM(F46:F74)</f>
        <v>1522425.1300000001</v>
      </c>
      <c r="G45" s="156">
        <f>SUM(G46:G74)</f>
        <v>2010000</v>
      </c>
      <c r="H45" s="106">
        <f t="shared" si="2"/>
        <v>132.02619691386727</v>
      </c>
      <c r="I45" s="156">
        <f>SUM(I46:I76)</f>
        <v>2249000</v>
      </c>
      <c r="J45" s="156">
        <f>SUM(J46:J76)</f>
        <v>1744869.22</v>
      </c>
      <c r="K45" s="170">
        <f>SUM(K46:K77)</f>
        <v>3099800</v>
      </c>
    </row>
    <row r="46" spans="1:11" x14ac:dyDescent="0.3">
      <c r="A46" s="141"/>
      <c r="B46" s="113">
        <v>1</v>
      </c>
      <c r="C46" s="112" t="s">
        <v>210</v>
      </c>
      <c r="D46" s="114">
        <v>74696.88</v>
      </c>
      <c r="E46" s="114">
        <v>30872.9</v>
      </c>
      <c r="F46" s="142">
        <v>68907.679999999993</v>
      </c>
      <c r="G46" s="142">
        <v>65000</v>
      </c>
      <c r="H46" s="102">
        <f t="shared" si="2"/>
        <v>94.329108163270064</v>
      </c>
      <c r="I46" s="142">
        <v>99000</v>
      </c>
      <c r="J46" s="142">
        <v>97015.45</v>
      </c>
      <c r="K46" s="162">
        <v>19800</v>
      </c>
    </row>
    <row r="47" spans="1:11" x14ac:dyDescent="0.3">
      <c r="A47" s="145"/>
      <c r="B47" s="90">
        <v>2</v>
      </c>
      <c r="C47" s="82" t="s">
        <v>219</v>
      </c>
      <c r="D47" s="81"/>
      <c r="E47" s="81"/>
      <c r="F47" s="146">
        <v>29854</v>
      </c>
      <c r="G47" s="146">
        <v>30000</v>
      </c>
      <c r="H47" s="83">
        <f t="shared" si="2"/>
        <v>100.48904669391037</v>
      </c>
      <c r="I47" s="146">
        <v>30000</v>
      </c>
      <c r="J47" s="146">
        <v>29184.400000000001</v>
      </c>
      <c r="K47" s="163">
        <v>50000</v>
      </c>
    </row>
    <row r="48" spans="1:11" x14ac:dyDescent="0.3">
      <c r="A48" s="145"/>
      <c r="B48" s="90">
        <v>3</v>
      </c>
      <c r="C48" s="82" t="s">
        <v>183</v>
      </c>
      <c r="D48" s="81"/>
      <c r="E48" s="81"/>
      <c r="F48" s="146">
        <v>5784</v>
      </c>
      <c r="G48" s="146">
        <v>10000</v>
      </c>
      <c r="H48" s="83">
        <f t="shared" si="2"/>
        <v>172.89073305670817</v>
      </c>
      <c r="I48" s="146">
        <v>12000</v>
      </c>
      <c r="J48" s="146">
        <v>11177.42</v>
      </c>
      <c r="K48" s="163">
        <v>30000</v>
      </c>
    </row>
    <row r="49" spans="1:11" x14ac:dyDescent="0.3">
      <c r="A49" s="145"/>
      <c r="B49" s="90">
        <v>4</v>
      </c>
      <c r="C49" s="82" t="s">
        <v>182</v>
      </c>
      <c r="D49" s="81"/>
      <c r="E49" s="81"/>
      <c r="F49" s="146">
        <v>22327.16</v>
      </c>
      <c r="G49" s="146">
        <v>25000</v>
      </c>
      <c r="H49" s="83">
        <f t="shared" si="2"/>
        <v>111.97124936624272</v>
      </c>
      <c r="I49" s="146">
        <v>10000</v>
      </c>
      <c r="J49" s="146">
        <v>6667.2</v>
      </c>
      <c r="K49" s="163">
        <v>30000</v>
      </c>
    </row>
    <row r="50" spans="1:11" x14ac:dyDescent="0.3">
      <c r="A50" s="145"/>
      <c r="B50" s="90">
        <v>5</v>
      </c>
      <c r="C50" s="82" t="s">
        <v>181</v>
      </c>
      <c r="D50" s="81"/>
      <c r="E50" s="81"/>
      <c r="F50" s="146">
        <v>15870</v>
      </c>
      <c r="G50" s="146">
        <v>55000</v>
      </c>
      <c r="H50" s="83">
        <f t="shared" si="2"/>
        <v>346.56584751102713</v>
      </c>
      <c r="I50" s="146">
        <v>20000</v>
      </c>
      <c r="J50" s="146">
        <v>12396.39</v>
      </c>
      <c r="K50" s="163">
        <v>80000</v>
      </c>
    </row>
    <row r="51" spans="1:11" x14ac:dyDescent="0.3">
      <c r="A51" s="145"/>
      <c r="B51" s="90">
        <v>6</v>
      </c>
      <c r="C51" s="82" t="s">
        <v>197</v>
      </c>
      <c r="D51" s="81"/>
      <c r="E51" s="81"/>
      <c r="F51" s="146">
        <v>21341</v>
      </c>
      <c r="G51" s="146">
        <v>35000</v>
      </c>
      <c r="H51" s="83">
        <f t="shared" si="2"/>
        <v>164.0035612201865</v>
      </c>
      <c r="I51" s="146">
        <v>30000</v>
      </c>
      <c r="J51" s="146">
        <v>12590</v>
      </c>
      <c r="K51" s="163">
        <v>50000</v>
      </c>
    </row>
    <row r="52" spans="1:11" x14ac:dyDescent="0.3">
      <c r="A52" s="145"/>
      <c r="B52" s="90">
        <v>7</v>
      </c>
      <c r="C52" s="82" t="s">
        <v>238</v>
      </c>
      <c r="D52" s="81">
        <v>43668.639999999999</v>
      </c>
      <c r="E52" s="81">
        <f>D52/9*3</f>
        <v>14556.213333333333</v>
      </c>
      <c r="F52" s="146">
        <v>66106.83</v>
      </c>
      <c r="G52" s="146">
        <v>65000</v>
      </c>
      <c r="H52" s="83">
        <f t="shared" si="2"/>
        <v>98.325694939539531</v>
      </c>
      <c r="I52" s="146">
        <v>99000</v>
      </c>
      <c r="J52" s="146">
        <v>99713.66</v>
      </c>
      <c r="K52" s="163">
        <v>90000</v>
      </c>
    </row>
    <row r="53" spans="1:11" x14ac:dyDescent="0.3">
      <c r="A53" s="145"/>
      <c r="B53" s="90">
        <v>8</v>
      </c>
      <c r="C53" s="82" t="s">
        <v>240</v>
      </c>
      <c r="D53" s="81"/>
      <c r="E53" s="81"/>
      <c r="F53" s="146"/>
      <c r="G53" s="146"/>
      <c r="H53" s="83"/>
      <c r="I53" s="146"/>
      <c r="J53" s="146"/>
      <c r="K53" s="163">
        <v>30000</v>
      </c>
    </row>
    <row r="54" spans="1:11" x14ac:dyDescent="0.3">
      <c r="A54" s="145"/>
      <c r="B54" s="90">
        <v>9</v>
      </c>
      <c r="C54" s="82" t="s">
        <v>241</v>
      </c>
      <c r="D54" s="81"/>
      <c r="E54" s="81"/>
      <c r="F54" s="146"/>
      <c r="G54" s="146"/>
      <c r="H54" s="83"/>
      <c r="I54" s="146"/>
      <c r="J54" s="146"/>
      <c r="K54" s="163">
        <v>15000</v>
      </c>
    </row>
    <row r="55" spans="1:11" x14ac:dyDescent="0.3">
      <c r="A55" s="145"/>
      <c r="B55" s="90">
        <v>10</v>
      </c>
      <c r="C55" s="82" t="s">
        <v>213</v>
      </c>
      <c r="D55" s="81"/>
      <c r="E55" s="81"/>
      <c r="F55" s="146"/>
      <c r="G55" s="146"/>
      <c r="H55" s="83"/>
      <c r="I55" s="146">
        <v>10000</v>
      </c>
      <c r="J55" s="146">
        <v>9316.4</v>
      </c>
      <c r="K55" s="163">
        <v>15000</v>
      </c>
    </row>
    <row r="56" spans="1:11" x14ac:dyDescent="0.3">
      <c r="A56" s="145"/>
      <c r="B56" s="90">
        <v>11</v>
      </c>
      <c r="C56" s="82" t="s">
        <v>211</v>
      </c>
      <c r="D56" s="81">
        <v>45841.47</v>
      </c>
      <c r="E56" s="81">
        <f>D56/9*3</f>
        <v>15280.490000000002</v>
      </c>
      <c r="F56" s="146">
        <f>D56+E56</f>
        <v>61121.960000000006</v>
      </c>
      <c r="G56" s="146">
        <v>65000</v>
      </c>
      <c r="H56" s="83">
        <f t="shared" si="2"/>
        <v>106.34475726890955</v>
      </c>
      <c r="I56" s="146">
        <v>55000</v>
      </c>
      <c r="J56" s="146">
        <v>54572.34</v>
      </c>
      <c r="K56" s="163">
        <v>85000</v>
      </c>
    </row>
    <row r="57" spans="1:11" x14ac:dyDescent="0.3">
      <c r="A57" s="145"/>
      <c r="B57" s="90">
        <v>12</v>
      </c>
      <c r="C57" s="82" t="s">
        <v>267</v>
      </c>
      <c r="D57" s="81">
        <v>21505.119999999999</v>
      </c>
      <c r="E57" s="81">
        <f>D57/9*3</f>
        <v>7168.373333333333</v>
      </c>
      <c r="F57" s="146">
        <v>50426.34</v>
      </c>
      <c r="G57" s="146">
        <v>55000</v>
      </c>
      <c r="H57" s="83">
        <f t="shared" si="2"/>
        <v>109.06998207682732</v>
      </c>
      <c r="I57" s="146">
        <v>60000</v>
      </c>
      <c r="J57" s="146">
        <v>61107.45</v>
      </c>
      <c r="K57" s="163">
        <v>80000</v>
      </c>
    </row>
    <row r="58" spans="1:11" x14ac:dyDescent="0.3">
      <c r="A58" s="145"/>
      <c r="B58" s="90">
        <v>13</v>
      </c>
      <c r="C58" s="82" t="s">
        <v>274</v>
      </c>
      <c r="D58" s="81"/>
      <c r="E58" s="81"/>
      <c r="F58" s="146"/>
      <c r="G58" s="146"/>
      <c r="H58" s="83"/>
      <c r="I58" s="146"/>
      <c r="J58" s="146"/>
      <c r="K58" s="163">
        <v>50000</v>
      </c>
    </row>
    <row r="59" spans="1:11" x14ac:dyDescent="0.3">
      <c r="A59" s="145"/>
      <c r="B59" s="90">
        <v>14</v>
      </c>
      <c r="C59" s="82" t="s">
        <v>332</v>
      </c>
      <c r="D59" s="81"/>
      <c r="E59" s="81"/>
      <c r="F59" s="146"/>
      <c r="G59" s="146"/>
      <c r="H59" s="83"/>
      <c r="I59" s="146"/>
      <c r="J59" s="146"/>
      <c r="K59" s="163">
        <v>30000</v>
      </c>
    </row>
    <row r="60" spans="1:11" x14ac:dyDescent="0.3">
      <c r="A60" s="145"/>
      <c r="B60" s="90">
        <v>15</v>
      </c>
      <c r="C60" s="82" t="s">
        <v>242</v>
      </c>
      <c r="D60" s="81">
        <v>15575.24</v>
      </c>
      <c r="E60" s="81">
        <f>D60/9*3</f>
        <v>5191.7466666666669</v>
      </c>
      <c r="F60" s="146">
        <v>30134.41</v>
      </c>
      <c r="G60" s="146">
        <v>45000</v>
      </c>
      <c r="H60" s="83">
        <f t="shared" si="2"/>
        <v>149.33094757786861</v>
      </c>
      <c r="I60" s="146">
        <v>60000</v>
      </c>
      <c r="J60" s="146">
        <v>53590.28</v>
      </c>
      <c r="K60" s="163">
        <v>90000</v>
      </c>
    </row>
    <row r="61" spans="1:11" x14ac:dyDescent="0.3">
      <c r="A61" s="145"/>
      <c r="B61" s="90">
        <v>16</v>
      </c>
      <c r="C61" s="82" t="s">
        <v>243</v>
      </c>
      <c r="D61" s="81"/>
      <c r="E61" s="81"/>
      <c r="F61" s="146"/>
      <c r="G61" s="146"/>
      <c r="H61" s="83"/>
      <c r="I61" s="146"/>
      <c r="J61" s="146"/>
      <c r="K61" s="163">
        <v>50000</v>
      </c>
    </row>
    <row r="62" spans="1:11" x14ac:dyDescent="0.3">
      <c r="A62" s="145"/>
      <c r="B62" s="90">
        <v>17</v>
      </c>
      <c r="C62" s="82" t="s">
        <v>306</v>
      </c>
      <c r="D62" s="81">
        <v>52550.83</v>
      </c>
      <c r="E62" s="81">
        <f>D62/9*3</f>
        <v>17516.943333333333</v>
      </c>
      <c r="F62" s="146">
        <v>65553.820000000007</v>
      </c>
      <c r="G62" s="146">
        <v>65000</v>
      </c>
      <c r="H62" s="83">
        <f t="shared" si="2"/>
        <v>99.155167463925054</v>
      </c>
      <c r="I62" s="146">
        <v>65000</v>
      </c>
      <c r="J62" s="146">
        <v>65312.52</v>
      </c>
      <c r="K62" s="163">
        <v>50000</v>
      </c>
    </row>
    <row r="63" spans="1:11" x14ac:dyDescent="0.3">
      <c r="A63" s="145"/>
      <c r="B63" s="90">
        <v>18</v>
      </c>
      <c r="C63" s="82" t="s">
        <v>268</v>
      </c>
      <c r="D63" s="81"/>
      <c r="E63" s="81"/>
      <c r="F63" s="146"/>
      <c r="G63" s="146"/>
      <c r="H63" s="83"/>
      <c r="I63" s="146"/>
      <c r="J63" s="146"/>
      <c r="K63" s="163">
        <f>50000+20000+30000+20000+95000+30000+20000+20000+20000+30000</f>
        <v>335000</v>
      </c>
    </row>
    <row r="64" spans="1:11" x14ac:dyDescent="0.3">
      <c r="A64" s="145"/>
      <c r="B64" s="90">
        <v>19</v>
      </c>
      <c r="C64" s="82" t="s">
        <v>277</v>
      </c>
      <c r="D64" s="81"/>
      <c r="E64" s="81"/>
      <c r="F64" s="146"/>
      <c r="G64" s="146"/>
      <c r="H64" s="83"/>
      <c r="I64" s="146"/>
      <c r="J64" s="146"/>
      <c r="K64" s="163">
        <v>50000</v>
      </c>
    </row>
    <row r="65" spans="1:11" x14ac:dyDescent="0.3">
      <c r="A65" s="145"/>
      <c r="B65" s="90">
        <v>20</v>
      </c>
      <c r="C65" s="82" t="s">
        <v>278</v>
      </c>
      <c r="D65" s="81"/>
      <c r="E65" s="81"/>
      <c r="F65" s="146"/>
      <c r="G65" s="146"/>
      <c r="H65" s="83"/>
      <c r="I65" s="146"/>
      <c r="J65" s="146"/>
      <c r="K65" s="163">
        <v>50000</v>
      </c>
    </row>
    <row r="66" spans="1:11" x14ac:dyDescent="0.3">
      <c r="A66" s="145"/>
      <c r="B66" s="90">
        <v>21</v>
      </c>
      <c r="C66" s="82" t="s">
        <v>50</v>
      </c>
      <c r="D66" s="81"/>
      <c r="E66" s="81"/>
      <c r="F66" s="146"/>
      <c r="G66" s="146"/>
      <c r="H66" s="83"/>
      <c r="I66" s="146"/>
      <c r="J66" s="146"/>
      <c r="K66" s="163">
        <v>70000</v>
      </c>
    </row>
    <row r="67" spans="1:11" x14ac:dyDescent="0.3">
      <c r="A67" s="145"/>
      <c r="B67" s="90">
        <v>22</v>
      </c>
      <c r="C67" s="82" t="s">
        <v>305</v>
      </c>
      <c r="D67" s="81"/>
      <c r="E67" s="81"/>
      <c r="F67" s="146"/>
      <c r="G67" s="146"/>
      <c r="H67" s="83"/>
      <c r="I67" s="146"/>
      <c r="J67" s="146"/>
      <c r="K67" s="163">
        <v>20000</v>
      </c>
    </row>
    <row r="68" spans="1:11" x14ac:dyDescent="0.3">
      <c r="A68" s="145"/>
      <c r="B68" s="90">
        <v>23</v>
      </c>
      <c r="C68" s="82" t="s">
        <v>244</v>
      </c>
      <c r="D68" s="81">
        <v>12603.27</v>
      </c>
      <c r="E68" s="81">
        <v>4000</v>
      </c>
      <c r="F68" s="146">
        <v>45174.91</v>
      </c>
      <c r="G68" s="146">
        <v>60000</v>
      </c>
      <c r="H68" s="83">
        <f>G68/F68*100</f>
        <v>132.81708806946156</v>
      </c>
      <c r="I68" s="146">
        <v>69000</v>
      </c>
      <c r="J68" s="146">
        <f>48873.8+17368.52</f>
        <v>66242.320000000007</v>
      </c>
      <c r="K68" s="163">
        <v>50000</v>
      </c>
    </row>
    <row r="69" spans="1:11" x14ac:dyDescent="0.3">
      <c r="A69" s="145"/>
      <c r="B69" s="90">
        <v>24</v>
      </c>
      <c r="C69" s="82" t="s">
        <v>276</v>
      </c>
      <c r="D69" s="81"/>
      <c r="E69" s="81"/>
      <c r="F69" s="146"/>
      <c r="G69" s="146"/>
      <c r="H69" s="83"/>
      <c r="I69" s="146"/>
      <c r="J69" s="146"/>
      <c r="K69" s="163">
        <v>50000</v>
      </c>
    </row>
    <row r="70" spans="1:11" x14ac:dyDescent="0.3">
      <c r="A70" s="145"/>
      <c r="B70" s="90">
        <v>25</v>
      </c>
      <c r="C70" s="82" t="s">
        <v>207</v>
      </c>
      <c r="D70" s="81"/>
      <c r="E70" s="81"/>
      <c r="F70" s="146"/>
      <c r="G70" s="146">
        <v>45000</v>
      </c>
      <c r="H70" s="83"/>
      <c r="I70" s="146">
        <v>45000</v>
      </c>
      <c r="J70" s="146">
        <f>355.98+25110.24</f>
        <v>25466.22</v>
      </c>
      <c r="K70" s="163">
        <v>35000</v>
      </c>
    </row>
    <row r="71" spans="1:11" x14ac:dyDescent="0.3">
      <c r="A71" s="145"/>
      <c r="B71" s="90">
        <v>26</v>
      </c>
      <c r="C71" s="82" t="s">
        <v>144</v>
      </c>
      <c r="D71" s="81">
        <v>502000</v>
      </c>
      <c r="E71" s="81">
        <v>160000</v>
      </c>
      <c r="F71" s="146">
        <v>694820.97</v>
      </c>
      <c r="G71" s="146">
        <v>800000</v>
      </c>
      <c r="H71" s="83">
        <f>G71/F71*100</f>
        <v>115.13757277648082</v>
      </c>
      <c r="I71" s="146">
        <v>840000</v>
      </c>
      <c r="J71" s="146">
        <f>502690.03+894.85+383.51</f>
        <v>503968.39</v>
      </c>
      <c r="K71" s="163">
        <v>800000</v>
      </c>
    </row>
    <row r="72" spans="1:11" x14ac:dyDescent="0.3">
      <c r="A72" s="145"/>
      <c r="B72" s="90">
        <v>27</v>
      </c>
      <c r="C72" s="82" t="s">
        <v>143</v>
      </c>
      <c r="D72" s="81">
        <v>56588.5</v>
      </c>
      <c r="E72" s="81">
        <f>D72/9*3</f>
        <v>18862.833333333336</v>
      </c>
      <c r="F72" s="146">
        <v>126239.33</v>
      </c>
      <c r="G72" s="146">
        <v>370000</v>
      </c>
      <c r="H72" s="83">
        <f>G72/F72*100</f>
        <v>293.09407773314382</v>
      </c>
      <c r="I72" s="146">
        <v>197000</v>
      </c>
      <c r="J72" s="146">
        <v>120525.63</v>
      </c>
      <c r="K72" s="163">
        <v>195000</v>
      </c>
    </row>
    <row r="73" spans="1:11" x14ac:dyDescent="0.3">
      <c r="A73" s="145"/>
      <c r="B73" s="90">
        <v>28</v>
      </c>
      <c r="C73" s="82" t="s">
        <v>186</v>
      </c>
      <c r="D73" s="81">
        <v>96933.67</v>
      </c>
      <c r="E73" s="81">
        <v>32311.22</v>
      </c>
      <c r="F73" s="146">
        <v>154599.51999999999</v>
      </c>
      <c r="G73" s="146">
        <v>155000</v>
      </c>
      <c r="H73" s="83">
        <f>G73/F73*100</f>
        <v>100.25904349508976</v>
      </c>
      <c r="I73" s="146">
        <v>99000</v>
      </c>
      <c r="J73" s="146">
        <f>99178.21+386.64</f>
        <v>99564.85</v>
      </c>
      <c r="K73" s="163">
        <v>30000</v>
      </c>
    </row>
    <row r="74" spans="1:11" x14ac:dyDescent="0.3">
      <c r="A74" s="145"/>
      <c r="B74" s="90">
        <v>29</v>
      </c>
      <c r="C74" s="82" t="s">
        <v>187</v>
      </c>
      <c r="D74" s="81"/>
      <c r="E74" s="81"/>
      <c r="F74" s="146">
        <v>64163.199999999997</v>
      </c>
      <c r="G74" s="146">
        <v>65000</v>
      </c>
      <c r="H74" s="83">
        <f>G74/F74*100</f>
        <v>101.30417435539376</v>
      </c>
      <c r="I74" s="146">
        <v>150000</v>
      </c>
      <c r="J74" s="146">
        <f>130228.01</f>
        <v>130228.01</v>
      </c>
      <c r="K74" s="163">
        <v>190000</v>
      </c>
    </row>
    <row r="75" spans="1:11" x14ac:dyDescent="0.3">
      <c r="A75" s="145"/>
      <c r="B75" s="90">
        <v>30</v>
      </c>
      <c r="C75" s="82" t="s">
        <v>221</v>
      </c>
      <c r="D75" s="81"/>
      <c r="E75" s="81"/>
      <c r="F75" s="146"/>
      <c r="G75" s="146"/>
      <c r="H75" s="83"/>
      <c r="I75" s="146">
        <v>200000</v>
      </c>
      <c r="J75" s="146">
        <v>192685.29</v>
      </c>
      <c r="K75" s="163">
        <v>250000</v>
      </c>
    </row>
    <row r="76" spans="1:11" x14ac:dyDescent="0.3">
      <c r="A76" s="145"/>
      <c r="B76" s="90">
        <v>31</v>
      </c>
      <c r="C76" s="82" t="s">
        <v>275</v>
      </c>
      <c r="D76" s="81"/>
      <c r="E76" s="81"/>
      <c r="F76" s="146"/>
      <c r="G76" s="146"/>
      <c r="H76" s="83"/>
      <c r="I76" s="146">
        <v>99000</v>
      </c>
      <c r="J76" s="146">
        <v>93545</v>
      </c>
      <c r="K76" s="163">
        <v>90000</v>
      </c>
    </row>
    <row r="77" spans="1:11" ht="14.4" thickBot="1" x14ac:dyDescent="0.35">
      <c r="A77" s="151"/>
      <c r="B77" s="116">
        <v>32</v>
      </c>
      <c r="C77" s="117" t="s">
        <v>283</v>
      </c>
      <c r="D77" s="118"/>
      <c r="E77" s="118"/>
      <c r="F77" s="152"/>
      <c r="G77" s="152"/>
      <c r="H77" s="99"/>
      <c r="I77" s="152"/>
      <c r="J77" s="152"/>
      <c r="K77" s="164">
        <v>40000</v>
      </c>
    </row>
    <row r="78" spans="1:11" ht="14.4" thickBot="1" x14ac:dyDescent="0.35">
      <c r="A78" s="155" t="s">
        <v>251</v>
      </c>
      <c r="B78" s="103"/>
      <c r="C78" s="115" t="s">
        <v>148</v>
      </c>
      <c r="D78" s="105">
        <f>SUM(D79:D90)</f>
        <v>862350.94</v>
      </c>
      <c r="E78" s="105">
        <f>SUM(E79:E90)</f>
        <v>295116.98</v>
      </c>
      <c r="F78" s="156">
        <f>SUM(F79:F90)</f>
        <v>1162602.2933333332</v>
      </c>
      <c r="G78" s="156">
        <f>SUM(G79:G90)</f>
        <v>1158800</v>
      </c>
      <c r="H78" s="156">
        <f>SUM(H79:H90)</f>
        <v>655.54659868822409</v>
      </c>
      <c r="I78" s="156">
        <f>SUM(I79:I93)</f>
        <v>1294000</v>
      </c>
      <c r="J78" s="156">
        <f>SUM(J79:J93)</f>
        <v>1228748.21</v>
      </c>
      <c r="K78" s="170">
        <f>SUM(K79:K93)</f>
        <v>1461000</v>
      </c>
    </row>
    <row r="79" spans="1:11" x14ac:dyDescent="0.3">
      <c r="A79" s="141"/>
      <c r="B79" s="119">
        <v>1</v>
      </c>
      <c r="C79" s="112" t="s">
        <v>199</v>
      </c>
      <c r="D79" s="114">
        <v>81039.63</v>
      </c>
      <c r="E79" s="114">
        <f>D79/9*3</f>
        <v>27013.21</v>
      </c>
      <c r="F79" s="142">
        <f>D79+E79</f>
        <v>108052.84</v>
      </c>
      <c r="G79" s="142">
        <v>15000</v>
      </c>
      <c r="H79" s="102">
        <f>G79/F79*100</f>
        <v>13.882096944420896</v>
      </c>
      <c r="I79" s="142">
        <v>14000</v>
      </c>
      <c r="J79" s="142">
        <v>8118</v>
      </c>
      <c r="K79" s="162">
        <v>10000</v>
      </c>
    </row>
    <row r="80" spans="1:11" x14ac:dyDescent="0.3">
      <c r="A80" s="145"/>
      <c r="B80" s="88">
        <v>2</v>
      </c>
      <c r="C80" s="82" t="s">
        <v>198</v>
      </c>
      <c r="D80" s="81"/>
      <c r="E80" s="81"/>
      <c r="F80" s="146"/>
      <c r="G80" s="146">
        <v>65000</v>
      </c>
      <c r="H80" s="83"/>
      <c r="I80" s="146">
        <v>50000</v>
      </c>
      <c r="J80" s="146">
        <v>41453.32</v>
      </c>
      <c r="K80" s="163">
        <v>50000</v>
      </c>
    </row>
    <row r="81" spans="1:11" x14ac:dyDescent="0.3">
      <c r="A81" s="145"/>
      <c r="B81" s="88">
        <v>3</v>
      </c>
      <c r="C81" s="82" t="s">
        <v>202</v>
      </c>
      <c r="D81" s="81"/>
      <c r="E81" s="81"/>
      <c r="F81" s="146"/>
      <c r="G81" s="146">
        <v>30000</v>
      </c>
      <c r="H81" s="83"/>
      <c r="I81" s="146">
        <v>10000</v>
      </c>
      <c r="J81" s="146">
        <v>4787.7</v>
      </c>
      <c r="K81" s="163">
        <v>10000</v>
      </c>
    </row>
    <row r="82" spans="1:11" x14ac:dyDescent="0.3">
      <c r="A82" s="145"/>
      <c r="B82" s="88">
        <v>4</v>
      </c>
      <c r="C82" s="82" t="s">
        <v>279</v>
      </c>
      <c r="D82" s="81">
        <v>40783.78</v>
      </c>
      <c r="E82" s="81">
        <f t="shared" ref="E82:E85" si="3">D82/9*3</f>
        <v>13594.593333333334</v>
      </c>
      <c r="F82" s="146">
        <v>61754.44</v>
      </c>
      <c r="G82" s="146">
        <v>40000</v>
      </c>
      <c r="H82" s="83">
        <f t="shared" ref="H82:H87" si="4">G82/F82*100</f>
        <v>64.772670596640509</v>
      </c>
      <c r="I82" s="146">
        <v>75000</v>
      </c>
      <c r="J82" s="146">
        <v>71111.34</v>
      </c>
      <c r="K82" s="163">
        <v>60000</v>
      </c>
    </row>
    <row r="83" spans="1:11" x14ac:dyDescent="0.3">
      <c r="A83" s="145"/>
      <c r="B83" s="88">
        <v>5</v>
      </c>
      <c r="C83" s="82" t="s">
        <v>23</v>
      </c>
      <c r="D83" s="81">
        <v>46662.84</v>
      </c>
      <c r="E83" s="81">
        <f t="shared" si="3"/>
        <v>15554.279999999999</v>
      </c>
      <c r="F83" s="146">
        <f>D83+E83</f>
        <v>62217.119999999995</v>
      </c>
      <c r="G83" s="146">
        <v>60000</v>
      </c>
      <c r="H83" s="83">
        <f t="shared" si="4"/>
        <v>96.436479219867465</v>
      </c>
      <c r="I83" s="146">
        <v>65000</v>
      </c>
      <c r="J83" s="146">
        <v>60080.83</v>
      </c>
      <c r="K83" s="163">
        <v>65000</v>
      </c>
    </row>
    <row r="84" spans="1:11" x14ac:dyDescent="0.3">
      <c r="A84" s="145"/>
      <c r="B84" s="88">
        <v>6</v>
      </c>
      <c r="C84" s="82" t="s">
        <v>21</v>
      </c>
      <c r="D84" s="81">
        <v>19329.52</v>
      </c>
      <c r="E84" s="81">
        <f t="shared" si="3"/>
        <v>6443.1733333333341</v>
      </c>
      <c r="F84" s="146">
        <f>D84+E84</f>
        <v>25772.693333333336</v>
      </c>
      <c r="G84" s="146">
        <v>26000</v>
      </c>
      <c r="H84" s="83">
        <f t="shared" si="4"/>
        <v>100.88196706384845</v>
      </c>
      <c r="I84" s="146">
        <v>30000</v>
      </c>
      <c r="J84" s="146">
        <v>24195.91</v>
      </c>
      <c r="K84" s="163">
        <v>95000</v>
      </c>
    </row>
    <row r="85" spans="1:11" x14ac:dyDescent="0.3">
      <c r="A85" s="145"/>
      <c r="B85" s="88">
        <v>7</v>
      </c>
      <c r="C85" s="82" t="s">
        <v>208</v>
      </c>
      <c r="D85" s="81">
        <v>19903.57</v>
      </c>
      <c r="E85" s="81">
        <f t="shared" si="3"/>
        <v>6634.5233333333335</v>
      </c>
      <c r="F85" s="146">
        <v>19903.57</v>
      </c>
      <c r="G85" s="146">
        <v>15000</v>
      </c>
      <c r="H85" s="83">
        <f t="shared" si="4"/>
        <v>75.36336446175234</v>
      </c>
      <c r="I85" s="146">
        <v>30000</v>
      </c>
      <c r="J85" s="146">
        <v>27808.74</v>
      </c>
      <c r="K85" s="163">
        <v>10000</v>
      </c>
    </row>
    <row r="86" spans="1:11" x14ac:dyDescent="0.3">
      <c r="A86" s="145"/>
      <c r="B86" s="88">
        <v>8</v>
      </c>
      <c r="C86" s="82" t="s">
        <v>269</v>
      </c>
      <c r="D86" s="81"/>
      <c r="E86" s="81"/>
      <c r="F86" s="146"/>
      <c r="G86" s="146"/>
      <c r="H86" s="83"/>
      <c r="I86" s="146"/>
      <c r="J86" s="146"/>
      <c r="K86" s="163">
        <f>30000+30000+20000+60000+95000</f>
        <v>235000</v>
      </c>
    </row>
    <row r="87" spans="1:11" x14ac:dyDescent="0.3">
      <c r="A87" s="171"/>
      <c r="B87" s="88">
        <v>9</v>
      </c>
      <c r="C87" s="82" t="s">
        <v>185</v>
      </c>
      <c r="D87" s="81"/>
      <c r="E87" s="81"/>
      <c r="F87" s="146">
        <v>28554.3</v>
      </c>
      <c r="G87" s="146">
        <v>29000</v>
      </c>
      <c r="H87" s="83">
        <f t="shared" si="4"/>
        <v>101.56088575100772</v>
      </c>
      <c r="I87" s="146">
        <v>20000</v>
      </c>
      <c r="J87" s="146">
        <v>19220</v>
      </c>
      <c r="K87" s="163">
        <v>25000</v>
      </c>
    </row>
    <row r="88" spans="1:11" ht="17.399999999999999" customHeight="1" x14ac:dyDescent="0.3">
      <c r="A88" s="171"/>
      <c r="B88" s="88">
        <v>10</v>
      </c>
      <c r="C88" s="82" t="s">
        <v>146</v>
      </c>
      <c r="D88" s="81">
        <v>653781.6</v>
      </c>
      <c r="E88" s="81">
        <f>D88/9*3</f>
        <v>217927.19999999998</v>
      </c>
      <c r="F88" s="146">
        <v>847547.33</v>
      </c>
      <c r="G88" s="146">
        <v>870000</v>
      </c>
      <c r="H88" s="83">
        <f>G88/F88*100</f>
        <v>102.6491346506867</v>
      </c>
      <c r="I88" s="146">
        <v>950000</v>
      </c>
      <c r="J88" s="146">
        <f>116157.95+785780.74+34981.68</f>
        <v>936920.37</v>
      </c>
      <c r="K88" s="163">
        <v>800000</v>
      </c>
    </row>
    <row r="89" spans="1:11" x14ac:dyDescent="0.3">
      <c r="A89" s="145"/>
      <c r="B89" s="88">
        <v>11</v>
      </c>
      <c r="C89" s="82" t="s">
        <v>296</v>
      </c>
      <c r="D89" s="81"/>
      <c r="E89" s="81"/>
      <c r="F89" s="146"/>
      <c r="G89" s="146"/>
      <c r="H89" s="83"/>
      <c r="I89" s="146"/>
      <c r="J89" s="146"/>
      <c r="K89" s="163">
        <v>18000</v>
      </c>
    </row>
    <row r="90" spans="1:11" x14ac:dyDescent="0.3">
      <c r="A90" s="145"/>
      <c r="B90" s="88">
        <v>12</v>
      </c>
      <c r="C90" s="82" t="s">
        <v>230</v>
      </c>
      <c r="D90" s="81">
        <v>850</v>
      </c>
      <c r="E90" s="81">
        <v>7950</v>
      </c>
      <c r="F90" s="146">
        <f>D90+E90</f>
        <v>8800</v>
      </c>
      <c r="G90" s="146">
        <f>F90</f>
        <v>8800</v>
      </c>
      <c r="H90" s="83">
        <f>G90/F90*100</f>
        <v>100</v>
      </c>
      <c r="I90" s="146">
        <v>20000</v>
      </c>
      <c r="J90" s="146">
        <v>17952</v>
      </c>
      <c r="K90" s="163">
        <v>18000</v>
      </c>
    </row>
    <row r="91" spans="1:11" x14ac:dyDescent="0.3">
      <c r="A91" s="145"/>
      <c r="B91" s="88">
        <v>13</v>
      </c>
      <c r="C91" s="82" t="s">
        <v>330</v>
      </c>
      <c r="D91" s="81"/>
      <c r="E91" s="81"/>
      <c r="F91" s="146"/>
      <c r="G91" s="146"/>
      <c r="H91" s="83"/>
      <c r="I91" s="146"/>
      <c r="J91" s="146"/>
      <c r="K91" s="163">
        <v>25000</v>
      </c>
    </row>
    <row r="92" spans="1:11" ht="15" customHeight="1" x14ac:dyDescent="0.3">
      <c r="A92" s="145"/>
      <c r="B92" s="88">
        <v>14</v>
      </c>
      <c r="C92" s="82" t="s">
        <v>212</v>
      </c>
      <c r="D92" s="81"/>
      <c r="E92" s="81"/>
      <c r="F92" s="146"/>
      <c r="G92" s="146"/>
      <c r="H92" s="83"/>
      <c r="I92" s="146">
        <v>5000</v>
      </c>
      <c r="J92" s="146"/>
      <c r="K92" s="163">
        <v>15000</v>
      </c>
    </row>
    <row r="93" spans="1:11" ht="14.4" thickBot="1" x14ac:dyDescent="0.35">
      <c r="A93" s="151"/>
      <c r="B93" s="120">
        <v>15</v>
      </c>
      <c r="C93" s="117" t="s">
        <v>231</v>
      </c>
      <c r="D93" s="118"/>
      <c r="E93" s="118"/>
      <c r="F93" s="152"/>
      <c r="G93" s="152"/>
      <c r="H93" s="99"/>
      <c r="I93" s="152">
        <v>25000</v>
      </c>
      <c r="J93" s="152">
        <v>17100</v>
      </c>
      <c r="K93" s="164">
        <v>25000</v>
      </c>
    </row>
    <row r="94" spans="1:11" ht="14.4" thickBot="1" x14ac:dyDescent="0.35">
      <c r="A94" s="155" t="s">
        <v>252</v>
      </c>
      <c r="B94" s="121">
        <v>17</v>
      </c>
      <c r="C94" s="115" t="s">
        <v>149</v>
      </c>
      <c r="D94" s="105">
        <f>SUM(D97:D127)</f>
        <v>569282.14</v>
      </c>
      <c r="E94" s="105">
        <f>SUM(E97:E127)</f>
        <v>156427.38</v>
      </c>
      <c r="F94" s="156">
        <f>SUM(F97:F127)</f>
        <v>1483620.9933333332</v>
      </c>
      <c r="G94" s="156">
        <f>SUM(G97:G127)</f>
        <v>1151600</v>
      </c>
      <c r="H94" s="106">
        <f t="shared" ref="H94:H103" si="5">G94/F94*100</f>
        <v>77.620902182884095</v>
      </c>
      <c r="I94" s="156">
        <f>SUM(I97:I128)</f>
        <v>1678500</v>
      </c>
      <c r="J94" s="156">
        <f>SUM(J97:J128)</f>
        <v>1472755.7600000002</v>
      </c>
      <c r="K94" s="170">
        <f>SUM(K95:K129)</f>
        <v>2466800</v>
      </c>
    </row>
    <row r="95" spans="1:11" x14ac:dyDescent="0.3">
      <c r="A95" s="172"/>
      <c r="B95" s="119">
        <v>18</v>
      </c>
      <c r="C95" s="112" t="s">
        <v>331</v>
      </c>
      <c r="D95" s="114"/>
      <c r="E95" s="114"/>
      <c r="F95" s="142"/>
      <c r="G95" s="142"/>
      <c r="H95" s="102"/>
      <c r="I95" s="142"/>
      <c r="J95" s="142"/>
      <c r="K95" s="162">
        <v>75000</v>
      </c>
    </row>
    <row r="96" spans="1:11" x14ac:dyDescent="0.3">
      <c r="A96" s="173"/>
      <c r="B96" s="119">
        <v>19</v>
      </c>
      <c r="C96" s="117" t="s">
        <v>294</v>
      </c>
      <c r="D96" s="118"/>
      <c r="E96" s="118"/>
      <c r="F96" s="152"/>
      <c r="G96" s="152"/>
      <c r="H96" s="99"/>
      <c r="I96" s="152"/>
      <c r="J96" s="152"/>
      <c r="K96" s="164">
        <v>111000</v>
      </c>
    </row>
    <row r="97" spans="1:11" x14ac:dyDescent="0.3">
      <c r="A97" s="145"/>
      <c r="B97" s="119">
        <v>20</v>
      </c>
      <c r="C97" s="82" t="s">
        <v>292</v>
      </c>
      <c r="D97" s="81">
        <v>4526.63</v>
      </c>
      <c r="E97" s="81">
        <f>D97/9*3</f>
        <v>1508.8766666666668</v>
      </c>
      <c r="F97" s="146">
        <f>D97+E97</f>
        <v>6035.5066666666671</v>
      </c>
      <c r="G97" s="146">
        <v>7500</v>
      </c>
      <c r="H97" s="83">
        <f t="shared" si="5"/>
        <v>124.26462953676354</v>
      </c>
      <c r="I97" s="146">
        <v>15000</v>
      </c>
      <c r="J97" s="146">
        <v>15465.35</v>
      </c>
      <c r="K97" s="163">
        <v>15000</v>
      </c>
    </row>
    <row r="98" spans="1:11" x14ac:dyDescent="0.3">
      <c r="A98" s="145"/>
      <c r="B98" s="119">
        <v>21</v>
      </c>
      <c r="C98" s="82" t="s">
        <v>236</v>
      </c>
      <c r="D98" s="81">
        <v>63275.4</v>
      </c>
      <c r="E98" s="81">
        <f>D98/9*3</f>
        <v>21091.800000000003</v>
      </c>
      <c r="F98" s="146">
        <v>14367.2</v>
      </c>
      <c r="G98" s="146">
        <v>15000</v>
      </c>
      <c r="H98" s="83">
        <f t="shared" si="5"/>
        <v>104.40447686396791</v>
      </c>
      <c r="I98" s="146">
        <v>119000</v>
      </c>
      <c r="J98" s="146">
        <f>104473.39+3156.95</f>
        <v>107630.34</v>
      </c>
      <c r="K98" s="163">
        <v>95000</v>
      </c>
    </row>
    <row r="99" spans="1:11" x14ac:dyDescent="0.3">
      <c r="A99" s="145"/>
      <c r="B99" s="119">
        <v>22</v>
      </c>
      <c r="C99" s="82" t="s">
        <v>270</v>
      </c>
      <c r="D99" s="81">
        <v>10250</v>
      </c>
      <c r="E99" s="81">
        <f>D99/9*3</f>
        <v>3416.666666666667</v>
      </c>
      <c r="F99" s="146">
        <f>D99+E99</f>
        <v>13666.666666666668</v>
      </c>
      <c r="G99" s="146">
        <v>10000</v>
      </c>
      <c r="H99" s="83">
        <f t="shared" si="5"/>
        <v>73.170731707317074</v>
      </c>
      <c r="I99" s="146">
        <v>65000</v>
      </c>
      <c r="J99" s="146">
        <v>62400</v>
      </c>
      <c r="K99" s="163">
        <v>85000</v>
      </c>
    </row>
    <row r="100" spans="1:11" x14ac:dyDescent="0.3">
      <c r="A100" s="174"/>
      <c r="B100" s="119">
        <v>23</v>
      </c>
      <c r="C100" s="82" t="s">
        <v>271</v>
      </c>
      <c r="D100" s="81"/>
      <c r="E100" s="81"/>
      <c r="F100" s="146"/>
      <c r="G100" s="146"/>
      <c r="H100" s="83"/>
      <c r="I100" s="146"/>
      <c r="J100" s="146"/>
      <c r="K100" s="163">
        <v>150000</v>
      </c>
    </row>
    <row r="101" spans="1:11" x14ac:dyDescent="0.3">
      <c r="A101" s="174"/>
      <c r="B101" s="119">
        <v>24</v>
      </c>
      <c r="C101" s="82" t="s">
        <v>265</v>
      </c>
      <c r="D101" s="81"/>
      <c r="E101" s="81"/>
      <c r="F101" s="146"/>
      <c r="G101" s="146"/>
      <c r="H101" s="83"/>
      <c r="I101" s="146"/>
      <c r="J101" s="146"/>
      <c r="K101" s="163">
        <v>15000</v>
      </c>
    </row>
    <row r="102" spans="1:11" x14ac:dyDescent="0.3">
      <c r="A102" s="145"/>
      <c r="B102" s="119">
        <v>25</v>
      </c>
      <c r="C102" s="82" t="s">
        <v>29</v>
      </c>
      <c r="D102" s="81">
        <v>7880</v>
      </c>
      <c r="E102" s="81">
        <f>D102/9*3</f>
        <v>2626.6666666666665</v>
      </c>
      <c r="F102" s="146">
        <v>25066.91</v>
      </c>
      <c r="G102" s="146">
        <v>25000</v>
      </c>
      <c r="H102" s="83">
        <f t="shared" si="5"/>
        <v>99.733074399676696</v>
      </c>
      <c r="I102" s="146">
        <v>30000</v>
      </c>
      <c r="J102" s="146">
        <v>17890</v>
      </c>
      <c r="K102" s="163">
        <v>25000</v>
      </c>
    </row>
    <row r="103" spans="1:11" ht="16.2" customHeight="1" x14ac:dyDescent="0.3">
      <c r="A103" s="145"/>
      <c r="B103" s="119">
        <v>26</v>
      </c>
      <c r="C103" s="82" t="s">
        <v>272</v>
      </c>
      <c r="D103" s="81">
        <v>100000</v>
      </c>
      <c r="E103" s="81">
        <v>0</v>
      </c>
      <c r="F103" s="146">
        <f>D103+E103</f>
        <v>100000</v>
      </c>
      <c r="G103" s="146">
        <f>F103</f>
        <v>100000</v>
      </c>
      <c r="H103" s="83">
        <f t="shared" si="5"/>
        <v>100</v>
      </c>
      <c r="I103" s="146">
        <v>55000</v>
      </c>
      <c r="J103" s="146">
        <f>25757.71+23830.55+3150.5</f>
        <v>52738.759999999995</v>
      </c>
      <c r="K103" s="163">
        <v>92000</v>
      </c>
    </row>
    <row r="104" spans="1:11" x14ac:dyDescent="0.3">
      <c r="A104" s="145"/>
      <c r="B104" s="119">
        <v>27</v>
      </c>
      <c r="C104" s="82" t="s">
        <v>273</v>
      </c>
      <c r="D104" s="81"/>
      <c r="E104" s="81"/>
      <c r="F104" s="146"/>
      <c r="G104" s="146"/>
      <c r="H104" s="83"/>
      <c r="I104" s="146"/>
      <c r="J104" s="146"/>
      <c r="K104" s="163">
        <v>35000</v>
      </c>
    </row>
    <row r="105" spans="1:11" x14ac:dyDescent="0.3">
      <c r="A105" s="145"/>
      <c r="B105" s="119">
        <v>28</v>
      </c>
      <c r="C105" s="82" t="s">
        <v>295</v>
      </c>
      <c r="D105" s="81"/>
      <c r="E105" s="81"/>
      <c r="F105" s="146"/>
      <c r="G105" s="146"/>
      <c r="H105" s="83"/>
      <c r="I105" s="146"/>
      <c r="J105" s="146"/>
      <c r="K105" s="163">
        <v>75000</v>
      </c>
    </row>
    <row r="106" spans="1:11" x14ac:dyDescent="0.3">
      <c r="A106" s="145"/>
      <c r="B106" s="119">
        <v>29</v>
      </c>
      <c r="C106" s="82" t="s">
        <v>200</v>
      </c>
      <c r="D106" s="81">
        <v>209420.97</v>
      </c>
      <c r="E106" s="81">
        <f>D106/9*3</f>
        <v>69806.989999999991</v>
      </c>
      <c r="F106" s="146">
        <v>314771.59000000003</v>
      </c>
      <c r="G106" s="146">
        <v>320000</v>
      </c>
      <c r="H106" s="83">
        <f>G106/F106*100</f>
        <v>101.66101712038243</v>
      </c>
      <c r="I106" s="146">
        <v>600000</v>
      </c>
      <c r="J106" s="146">
        <v>563350.85</v>
      </c>
      <c r="K106" s="163">
        <v>650000</v>
      </c>
    </row>
    <row r="107" spans="1:11" x14ac:dyDescent="0.3">
      <c r="A107" s="145"/>
      <c r="B107" s="119">
        <v>30</v>
      </c>
      <c r="C107" s="82" t="s">
        <v>176</v>
      </c>
      <c r="D107" s="81">
        <v>56181.69</v>
      </c>
      <c r="E107" s="81">
        <f>D107/9*3</f>
        <v>18727.23</v>
      </c>
      <c r="F107" s="146">
        <f>D107+E107</f>
        <v>74908.92</v>
      </c>
      <c r="G107" s="146">
        <v>75000</v>
      </c>
      <c r="H107" s="83">
        <f>G107/F107*100</f>
        <v>100.1215876560495</v>
      </c>
      <c r="I107" s="146">
        <v>123000</v>
      </c>
      <c r="J107" s="146">
        <v>122952.88</v>
      </c>
      <c r="K107" s="163">
        <v>130000</v>
      </c>
    </row>
    <row r="108" spans="1:11" x14ac:dyDescent="0.3">
      <c r="A108" s="145"/>
      <c r="B108" s="119">
        <v>31</v>
      </c>
      <c r="C108" s="82" t="s">
        <v>175</v>
      </c>
      <c r="D108" s="81">
        <v>10539.45</v>
      </c>
      <c r="E108" s="81">
        <f>D108/9*3</f>
        <v>3513.1500000000005</v>
      </c>
      <c r="F108" s="146">
        <f>D108+E108</f>
        <v>14052.600000000002</v>
      </c>
      <c r="G108" s="146">
        <v>14100</v>
      </c>
      <c r="H108" s="83">
        <f>G108/F108*100</f>
        <v>100.33730412877331</v>
      </c>
      <c r="I108" s="146">
        <v>15500</v>
      </c>
      <c r="J108" s="146">
        <v>9026.6299999999992</v>
      </c>
      <c r="K108" s="163">
        <v>15000</v>
      </c>
    </row>
    <row r="109" spans="1:11" x14ac:dyDescent="0.3">
      <c r="A109" s="145"/>
      <c r="B109" s="119">
        <v>32</v>
      </c>
      <c r="C109" s="82" t="s">
        <v>201</v>
      </c>
      <c r="D109" s="81">
        <v>42132</v>
      </c>
      <c r="E109" s="81">
        <f>D109/9*3</f>
        <v>14044</v>
      </c>
      <c r="F109" s="146">
        <f>D109+E109</f>
        <v>56176</v>
      </c>
      <c r="G109" s="146">
        <v>60000</v>
      </c>
      <c r="H109" s="83">
        <f>G109/F109*100</f>
        <v>106.80717744232413</v>
      </c>
      <c r="I109" s="146">
        <v>75000</v>
      </c>
      <c r="J109" s="146">
        <f>2800+68946.6</f>
        <v>71746.600000000006</v>
      </c>
      <c r="K109" s="163">
        <v>60000</v>
      </c>
    </row>
    <row r="110" spans="1:11" x14ac:dyDescent="0.3">
      <c r="A110" s="145"/>
      <c r="B110" s="119">
        <v>33</v>
      </c>
      <c r="C110" s="82" t="s">
        <v>297</v>
      </c>
      <c r="D110" s="81"/>
      <c r="E110" s="81"/>
      <c r="F110" s="146"/>
      <c r="G110" s="146"/>
      <c r="H110" s="83"/>
      <c r="I110" s="146">
        <v>20000</v>
      </c>
      <c r="J110" s="146">
        <v>17760</v>
      </c>
      <c r="K110" s="163">
        <v>30000</v>
      </c>
    </row>
    <row r="111" spans="1:11" x14ac:dyDescent="0.3">
      <c r="A111" s="145"/>
      <c r="B111" s="119">
        <v>34</v>
      </c>
      <c r="C111" s="82" t="s">
        <v>245</v>
      </c>
      <c r="D111" s="81"/>
      <c r="E111" s="81"/>
      <c r="F111" s="146"/>
      <c r="G111" s="146"/>
      <c r="H111" s="83"/>
      <c r="I111" s="146"/>
      <c r="J111" s="146"/>
      <c r="K111" s="163">
        <v>48000</v>
      </c>
    </row>
    <row r="112" spans="1:11" x14ac:dyDescent="0.3">
      <c r="A112" s="145"/>
      <c r="B112" s="119">
        <v>35</v>
      </c>
      <c r="C112" s="82" t="s">
        <v>303</v>
      </c>
      <c r="D112" s="81"/>
      <c r="E112" s="81"/>
      <c r="F112" s="146"/>
      <c r="G112" s="146"/>
      <c r="H112" s="83"/>
      <c r="I112" s="146"/>
      <c r="J112" s="146"/>
      <c r="K112" s="163">
        <v>12000</v>
      </c>
    </row>
    <row r="113" spans="1:11" x14ac:dyDescent="0.3">
      <c r="A113" s="145"/>
      <c r="B113" s="119">
        <v>36</v>
      </c>
      <c r="C113" s="82" t="s">
        <v>298</v>
      </c>
      <c r="D113" s="81"/>
      <c r="E113" s="81"/>
      <c r="F113" s="146"/>
      <c r="G113" s="146"/>
      <c r="H113" s="83"/>
      <c r="I113" s="146"/>
      <c r="J113" s="146"/>
      <c r="K113" s="163">
        <v>10000</v>
      </c>
    </row>
    <row r="114" spans="1:11" x14ac:dyDescent="0.3">
      <c r="A114" s="145"/>
      <c r="B114" s="119">
        <v>37</v>
      </c>
      <c r="C114" s="82" t="s">
        <v>299</v>
      </c>
      <c r="D114" s="81"/>
      <c r="E114" s="81"/>
      <c r="F114" s="146"/>
      <c r="G114" s="146"/>
      <c r="H114" s="83"/>
      <c r="I114" s="146"/>
      <c r="J114" s="146"/>
      <c r="K114" s="163">
        <v>12000</v>
      </c>
    </row>
    <row r="115" spans="1:11" x14ac:dyDescent="0.3">
      <c r="A115" s="145"/>
      <c r="B115" s="119">
        <v>38</v>
      </c>
      <c r="C115" s="82" t="s">
        <v>301</v>
      </c>
      <c r="D115" s="81"/>
      <c r="E115" s="81"/>
      <c r="F115" s="146"/>
      <c r="G115" s="146"/>
      <c r="H115" s="83"/>
      <c r="I115" s="146"/>
      <c r="J115" s="146"/>
      <c r="K115" s="163">
        <v>12000</v>
      </c>
    </row>
    <row r="116" spans="1:11" x14ac:dyDescent="0.3">
      <c r="A116" s="145"/>
      <c r="B116" s="119">
        <v>39</v>
      </c>
      <c r="C116" s="82" t="s">
        <v>302</v>
      </c>
      <c r="D116" s="81"/>
      <c r="E116" s="81"/>
      <c r="F116" s="146"/>
      <c r="G116" s="146"/>
      <c r="H116" s="83"/>
      <c r="I116" s="146"/>
      <c r="J116" s="146"/>
      <c r="K116" s="163">
        <v>30000</v>
      </c>
    </row>
    <row r="117" spans="1:11" x14ac:dyDescent="0.3">
      <c r="A117" s="145"/>
      <c r="B117" s="119">
        <v>40</v>
      </c>
      <c r="C117" s="82" t="s">
        <v>300</v>
      </c>
      <c r="D117" s="81"/>
      <c r="E117" s="81"/>
      <c r="F117" s="146"/>
      <c r="G117" s="146"/>
      <c r="H117" s="83"/>
      <c r="I117" s="146"/>
      <c r="J117" s="146"/>
      <c r="K117" s="163">
        <v>19800</v>
      </c>
    </row>
    <row r="118" spans="1:11" x14ac:dyDescent="0.3">
      <c r="A118" s="145"/>
      <c r="B118" s="119">
        <v>41</v>
      </c>
      <c r="C118" s="82" t="s">
        <v>333</v>
      </c>
      <c r="D118" s="81"/>
      <c r="E118" s="81"/>
      <c r="F118" s="146"/>
      <c r="G118" s="146"/>
      <c r="H118" s="83"/>
      <c r="I118" s="146">
        <v>40000</v>
      </c>
      <c r="J118" s="146">
        <v>39189</v>
      </c>
      <c r="K118" s="163">
        <v>70000</v>
      </c>
    </row>
    <row r="119" spans="1:11" ht="16.95" customHeight="1" x14ac:dyDescent="0.3">
      <c r="A119" s="145"/>
      <c r="B119" s="119">
        <v>42</v>
      </c>
      <c r="C119" s="82" t="s">
        <v>147</v>
      </c>
      <c r="D119" s="81">
        <v>65076</v>
      </c>
      <c r="E119" s="81">
        <f>D119/9*3</f>
        <v>21692</v>
      </c>
      <c r="F119" s="146">
        <f>D119+E119</f>
        <v>86768</v>
      </c>
      <c r="G119" s="146">
        <v>90000</v>
      </c>
      <c r="H119" s="83">
        <f>G119/F119*100</f>
        <v>103.72487553014938</v>
      </c>
      <c r="I119" s="146">
        <v>69000</v>
      </c>
      <c r="J119" s="146">
        <f>957.62+56732.13+470.54</f>
        <v>58160.29</v>
      </c>
      <c r="K119" s="163">
        <v>75000</v>
      </c>
    </row>
    <row r="120" spans="1:11" x14ac:dyDescent="0.3">
      <c r="A120" s="145"/>
      <c r="B120" s="119">
        <v>43</v>
      </c>
      <c r="C120" s="82" t="s">
        <v>205</v>
      </c>
      <c r="D120" s="81"/>
      <c r="E120" s="81"/>
      <c r="F120" s="146"/>
      <c r="G120" s="146"/>
      <c r="H120" s="83"/>
      <c r="I120" s="146">
        <v>98000</v>
      </c>
      <c r="J120" s="146"/>
      <c r="K120" s="163">
        <v>15000</v>
      </c>
    </row>
    <row r="121" spans="1:11" x14ac:dyDescent="0.3">
      <c r="A121" s="145"/>
      <c r="B121" s="119">
        <v>44</v>
      </c>
      <c r="C121" s="82" t="s">
        <v>263</v>
      </c>
      <c r="D121" s="81"/>
      <c r="E121" s="81"/>
      <c r="F121" s="146"/>
      <c r="G121" s="146"/>
      <c r="H121" s="83"/>
      <c r="I121" s="146"/>
      <c r="J121" s="146"/>
      <c r="K121" s="163">
        <v>18000</v>
      </c>
    </row>
    <row r="122" spans="1:11" x14ac:dyDescent="0.3">
      <c r="A122" s="145"/>
      <c r="B122" s="119">
        <v>45</v>
      </c>
      <c r="C122" s="82" t="s">
        <v>247</v>
      </c>
      <c r="D122" s="81"/>
      <c r="E122" s="81"/>
      <c r="F122" s="146"/>
      <c r="G122" s="146"/>
      <c r="H122" s="83"/>
      <c r="I122" s="146"/>
      <c r="J122" s="146"/>
      <c r="K122" s="163">
        <v>18000</v>
      </c>
    </row>
    <row r="123" spans="1:11" x14ac:dyDescent="0.3">
      <c r="A123" s="145"/>
      <c r="B123" s="119">
        <v>46</v>
      </c>
      <c r="C123" s="82" t="s">
        <v>304</v>
      </c>
      <c r="D123" s="81"/>
      <c r="E123" s="81"/>
      <c r="F123" s="146"/>
      <c r="G123" s="146"/>
      <c r="H123" s="83"/>
      <c r="I123" s="146"/>
      <c r="J123" s="146"/>
      <c r="K123" s="163">
        <v>15000</v>
      </c>
    </row>
    <row r="124" spans="1:11" x14ac:dyDescent="0.3">
      <c r="A124" s="145"/>
      <c r="B124" s="119">
        <v>47</v>
      </c>
      <c r="C124" s="82" t="s">
        <v>246</v>
      </c>
      <c r="D124" s="81"/>
      <c r="E124" s="81"/>
      <c r="F124" s="146">
        <v>777807.6</v>
      </c>
      <c r="G124" s="146">
        <v>435000</v>
      </c>
      <c r="H124" s="83">
        <f>G124/F124*100</f>
        <v>55.926427049568559</v>
      </c>
      <c r="I124" s="146">
        <v>89000</v>
      </c>
      <c r="J124" s="146">
        <v>86083.68</v>
      </c>
      <c r="K124" s="163">
        <v>15000</v>
      </c>
    </row>
    <row r="125" spans="1:11" ht="18" customHeight="1" x14ac:dyDescent="0.3">
      <c r="A125" s="145"/>
      <c r="B125" s="119">
        <v>48</v>
      </c>
      <c r="C125" s="82" t="s">
        <v>36</v>
      </c>
      <c r="D125" s="81"/>
      <c r="E125" s="81"/>
      <c r="F125" s="146"/>
      <c r="G125" s="146"/>
      <c r="H125" s="83"/>
      <c r="I125" s="146">
        <v>65000</v>
      </c>
      <c r="J125" s="146">
        <f>19118.58+7590.07+35652.73</f>
        <v>62361.380000000005</v>
      </c>
      <c r="K125" s="163">
        <v>50000</v>
      </c>
    </row>
    <row r="126" spans="1:11" ht="18" customHeight="1" x14ac:dyDescent="0.3">
      <c r="A126" s="145"/>
      <c r="B126" s="88" t="s">
        <v>334</v>
      </c>
      <c r="C126" s="82" t="s">
        <v>329</v>
      </c>
      <c r="D126" s="81"/>
      <c r="E126" s="81"/>
      <c r="F126" s="146"/>
      <c r="G126" s="146"/>
      <c r="H126" s="83"/>
      <c r="I126" s="146"/>
      <c r="J126" s="146"/>
      <c r="K126" s="163">
        <v>94000</v>
      </c>
    </row>
    <row r="127" spans="1:11" x14ac:dyDescent="0.3">
      <c r="A127" s="145"/>
      <c r="B127" s="88">
        <v>49</v>
      </c>
      <c r="C127" s="82" t="s">
        <v>281</v>
      </c>
      <c r="D127" s="81"/>
      <c r="E127" s="81"/>
      <c r="F127" s="146"/>
      <c r="G127" s="146"/>
      <c r="H127" s="83"/>
      <c r="I127" s="146"/>
      <c r="J127" s="146"/>
      <c r="K127" s="163">
        <v>190000</v>
      </c>
    </row>
    <row r="128" spans="1:11" x14ac:dyDescent="0.3">
      <c r="A128" s="145"/>
      <c r="B128" s="88">
        <v>50</v>
      </c>
      <c r="C128" s="82" t="s">
        <v>34</v>
      </c>
      <c r="D128" s="81"/>
      <c r="E128" s="81"/>
      <c r="F128" s="146"/>
      <c r="G128" s="146"/>
      <c r="H128" s="83"/>
      <c r="I128" s="146">
        <v>200000</v>
      </c>
      <c r="J128" s="146">
        <v>186000</v>
      </c>
      <c r="K128" s="163">
        <v>15000</v>
      </c>
    </row>
    <row r="129" spans="1:11" ht="14.4" thickBot="1" x14ac:dyDescent="0.35">
      <c r="A129" s="151"/>
      <c r="B129" s="88">
        <v>51</v>
      </c>
      <c r="C129" s="117" t="s">
        <v>282</v>
      </c>
      <c r="D129" s="118"/>
      <c r="E129" s="118"/>
      <c r="F129" s="152"/>
      <c r="G129" s="152"/>
      <c r="H129" s="99"/>
      <c r="I129" s="152"/>
      <c r="J129" s="152"/>
      <c r="K129" s="164">
        <v>90000</v>
      </c>
    </row>
    <row r="130" spans="1:11" ht="18.600000000000001" customHeight="1" thickBot="1" x14ac:dyDescent="0.35">
      <c r="A130" s="155" t="s">
        <v>253</v>
      </c>
      <c r="B130" s="103"/>
      <c r="C130" s="115" t="s">
        <v>307</v>
      </c>
      <c r="D130" s="105">
        <f>SUM(D131)</f>
        <v>308065.28000000003</v>
      </c>
      <c r="E130" s="105">
        <f>SUM(E131)</f>
        <v>102688.42666666668</v>
      </c>
      <c r="F130" s="156">
        <f>SUM(F131)</f>
        <v>410753.70666666672</v>
      </c>
      <c r="G130" s="156">
        <f>SUM(G131)</f>
        <v>702420.37</v>
      </c>
      <c r="H130" s="156">
        <f>SUM(H131)</f>
        <v>171.00767652232668</v>
      </c>
      <c r="I130" s="156">
        <v>820000</v>
      </c>
      <c r="J130" s="156">
        <f>SUM(J131:J131)</f>
        <v>807445.33000000007</v>
      </c>
      <c r="K130" s="157">
        <f>SUM(K131)</f>
        <v>2590000</v>
      </c>
    </row>
    <row r="131" spans="1:11" ht="14.4" thickBot="1" x14ac:dyDescent="0.35">
      <c r="A131" s="141"/>
      <c r="B131" s="100">
        <v>1</v>
      </c>
      <c r="C131" s="112" t="s">
        <v>232</v>
      </c>
      <c r="D131" s="114">
        <v>308065.28000000003</v>
      </c>
      <c r="E131" s="114">
        <f>D131/9*3</f>
        <v>102688.42666666668</v>
      </c>
      <c r="F131" s="142">
        <f>D131+E131</f>
        <v>410753.70666666672</v>
      </c>
      <c r="G131" s="142">
        <v>702420.37</v>
      </c>
      <c r="H131" s="102">
        <f>G131/F131*100</f>
        <v>171.00767652232668</v>
      </c>
      <c r="I131" s="142">
        <v>820000</v>
      </c>
      <c r="J131" s="142">
        <f>806008.77+1436.56</f>
        <v>807445.33000000007</v>
      </c>
      <c r="K131" s="162">
        <f>2200000+390000</f>
        <v>2590000</v>
      </c>
    </row>
    <row r="132" spans="1:11" ht="15.6" hidden="1" customHeight="1" x14ac:dyDescent="0.3">
      <c r="A132" s="145"/>
      <c r="B132" s="86"/>
      <c r="C132" s="82" t="s">
        <v>290</v>
      </c>
      <c r="D132" s="81"/>
      <c r="E132" s="81"/>
      <c r="F132" s="146"/>
      <c r="G132" s="146"/>
      <c r="H132" s="83"/>
      <c r="I132" s="146"/>
      <c r="J132" s="146"/>
      <c r="K132" s="163">
        <v>0</v>
      </c>
    </row>
    <row r="133" spans="1:11" ht="15.6" hidden="1" customHeight="1" x14ac:dyDescent="0.3">
      <c r="A133" s="145"/>
      <c r="B133" s="90"/>
      <c r="C133" s="82" t="s">
        <v>291</v>
      </c>
      <c r="D133" s="81"/>
      <c r="E133" s="81"/>
      <c r="F133" s="146"/>
      <c r="G133" s="146"/>
      <c r="H133" s="83"/>
      <c r="I133" s="146"/>
      <c r="J133" s="146"/>
      <c r="K133" s="163">
        <v>0</v>
      </c>
    </row>
    <row r="134" spans="1:11" ht="15.6" hidden="1" customHeight="1" x14ac:dyDescent="0.3">
      <c r="A134" s="145"/>
      <c r="B134" s="90"/>
      <c r="C134" s="82" t="s">
        <v>286</v>
      </c>
      <c r="D134" s="81"/>
      <c r="E134" s="81"/>
      <c r="F134" s="146"/>
      <c r="G134" s="146"/>
      <c r="H134" s="83"/>
      <c r="I134" s="146"/>
      <c r="J134" s="146"/>
      <c r="K134" s="163">
        <v>0</v>
      </c>
    </row>
    <row r="135" spans="1:11" ht="15.6" hidden="1" customHeight="1" x14ac:dyDescent="0.3">
      <c r="A135" s="145"/>
      <c r="B135" s="90"/>
      <c r="C135" s="82" t="s">
        <v>287</v>
      </c>
      <c r="D135" s="81"/>
      <c r="E135" s="81"/>
      <c r="F135" s="146"/>
      <c r="G135" s="146"/>
      <c r="H135" s="83"/>
      <c r="I135" s="146"/>
      <c r="J135" s="146"/>
      <c r="K135" s="163">
        <v>0</v>
      </c>
    </row>
    <row r="136" spans="1:11" ht="15.6" hidden="1" customHeight="1" x14ac:dyDescent="0.3">
      <c r="A136" s="145"/>
      <c r="B136" s="90"/>
      <c r="C136" s="82" t="s">
        <v>288</v>
      </c>
      <c r="D136" s="81"/>
      <c r="E136" s="81"/>
      <c r="F136" s="146"/>
      <c r="G136" s="146"/>
      <c r="H136" s="83"/>
      <c r="I136" s="146"/>
      <c r="J136" s="146"/>
      <c r="K136" s="163">
        <v>0</v>
      </c>
    </row>
    <row r="137" spans="1:11" ht="14.4" hidden="1" customHeight="1" thickBot="1" x14ac:dyDescent="0.35">
      <c r="A137" s="151"/>
      <c r="B137" s="116"/>
      <c r="C137" s="117" t="s">
        <v>289</v>
      </c>
      <c r="D137" s="118"/>
      <c r="E137" s="118"/>
      <c r="F137" s="152"/>
      <c r="G137" s="152"/>
      <c r="H137" s="99"/>
      <c r="I137" s="152"/>
      <c r="J137" s="152"/>
      <c r="K137" s="164">
        <v>0</v>
      </c>
    </row>
    <row r="138" spans="1:11" ht="14.4" thickBot="1" x14ac:dyDescent="0.35">
      <c r="A138" s="155" t="s">
        <v>254</v>
      </c>
      <c r="B138" s="110"/>
      <c r="C138" s="115" t="s">
        <v>310</v>
      </c>
      <c r="D138" s="122"/>
      <c r="E138" s="122"/>
      <c r="F138" s="175"/>
      <c r="G138" s="175"/>
      <c r="H138" s="106"/>
      <c r="I138" s="175"/>
      <c r="J138" s="175"/>
      <c r="K138" s="170">
        <f>SUM(K139:K146)</f>
        <v>1550000</v>
      </c>
    </row>
    <row r="139" spans="1:11" x14ac:dyDescent="0.3">
      <c r="A139" s="141"/>
      <c r="B139" s="100">
        <v>1</v>
      </c>
      <c r="C139" s="112" t="s">
        <v>156</v>
      </c>
      <c r="D139" s="114">
        <v>18910</v>
      </c>
      <c r="E139" s="114">
        <f>D139/9*3</f>
        <v>6303.3333333333339</v>
      </c>
      <c r="F139" s="142">
        <f>D139+E139</f>
        <v>25213.333333333336</v>
      </c>
      <c r="G139" s="142">
        <v>25000</v>
      </c>
      <c r="H139" s="102">
        <f>G139/F139*100</f>
        <v>99.153886832363824</v>
      </c>
      <c r="I139" s="142">
        <v>20000</v>
      </c>
      <c r="J139" s="142">
        <v>8245</v>
      </c>
      <c r="K139" s="162">
        <v>35000</v>
      </c>
    </row>
    <row r="140" spans="1:11" x14ac:dyDescent="0.3">
      <c r="A140" s="171"/>
      <c r="B140" s="86">
        <v>2</v>
      </c>
      <c r="C140" s="82" t="s">
        <v>150</v>
      </c>
      <c r="D140" s="81">
        <v>15000</v>
      </c>
      <c r="E140" s="81">
        <f>D140/9*3</f>
        <v>5000</v>
      </c>
      <c r="F140" s="146">
        <v>31172.6</v>
      </c>
      <c r="G140" s="146">
        <v>32000</v>
      </c>
      <c r="H140" s="83">
        <f>G140/F140*100</f>
        <v>102.65425405644702</v>
      </c>
      <c r="I140" s="146">
        <v>40000</v>
      </c>
      <c r="J140" s="146">
        <f>294+2634+6083.63</f>
        <v>9011.630000000001</v>
      </c>
      <c r="K140" s="163">
        <v>40000</v>
      </c>
    </row>
    <row r="141" spans="1:11" x14ac:dyDescent="0.3">
      <c r="A141" s="171"/>
      <c r="B141" s="86">
        <v>3</v>
      </c>
      <c r="C141" s="82" t="s">
        <v>151</v>
      </c>
      <c r="D141" s="81">
        <v>494721.5</v>
      </c>
      <c r="E141" s="81">
        <v>297120.09999999998</v>
      </c>
      <c r="F141" s="146">
        <v>665619</v>
      </c>
      <c r="G141" s="146">
        <v>680000</v>
      </c>
      <c r="H141" s="83">
        <f>G141/F141*100</f>
        <v>102.16054529693412</v>
      </c>
      <c r="I141" s="146">
        <v>620000</v>
      </c>
      <c r="J141" s="146">
        <v>499746</v>
      </c>
      <c r="K141" s="163">
        <v>600000</v>
      </c>
    </row>
    <row r="142" spans="1:11" x14ac:dyDescent="0.3">
      <c r="A142" s="145"/>
      <c r="B142" s="86">
        <v>4</v>
      </c>
      <c r="C142" s="82" t="s">
        <v>280</v>
      </c>
      <c r="D142" s="81"/>
      <c r="E142" s="81"/>
      <c r="F142" s="146"/>
      <c r="G142" s="146"/>
      <c r="H142" s="83"/>
      <c r="I142" s="146"/>
      <c r="J142" s="146"/>
      <c r="K142" s="163">
        <v>30000</v>
      </c>
    </row>
    <row r="143" spans="1:11" x14ac:dyDescent="0.3">
      <c r="A143" s="145"/>
      <c r="B143" s="86">
        <v>5</v>
      </c>
      <c r="C143" s="82" t="s">
        <v>285</v>
      </c>
      <c r="D143" s="81">
        <v>8500</v>
      </c>
      <c r="E143" s="81">
        <f>D143/9*3</f>
        <v>2833.3333333333335</v>
      </c>
      <c r="F143" s="146">
        <v>21024</v>
      </c>
      <c r="G143" s="146">
        <v>21000</v>
      </c>
      <c r="H143" s="83">
        <f>G143/F143*100</f>
        <v>99.885844748858446</v>
      </c>
      <c r="I143" s="146">
        <v>35000</v>
      </c>
      <c r="J143" s="146">
        <f>8540+26252</f>
        <v>34792</v>
      </c>
      <c r="K143" s="163">
        <v>65000</v>
      </c>
    </row>
    <row r="144" spans="1:11" x14ac:dyDescent="0.3">
      <c r="A144" s="145"/>
      <c r="B144" s="86">
        <v>6</v>
      </c>
      <c r="C144" s="82" t="s">
        <v>204</v>
      </c>
      <c r="D144" s="81">
        <v>39500</v>
      </c>
      <c r="E144" s="81">
        <f>D144/9*3</f>
        <v>13166.666666666666</v>
      </c>
      <c r="F144" s="146">
        <v>59835.6</v>
      </c>
      <c r="G144" s="146">
        <v>60000</v>
      </c>
      <c r="H144" s="83">
        <f>G144/F144*100</f>
        <v>100.2747528227343</v>
      </c>
      <c r="I144" s="146">
        <v>86000</v>
      </c>
      <c r="J144" s="146">
        <f>21000+9933.8+55000</f>
        <v>85933.8</v>
      </c>
      <c r="K144" s="163">
        <v>80000</v>
      </c>
    </row>
    <row r="145" spans="1:11" x14ac:dyDescent="0.3">
      <c r="A145" s="145"/>
      <c r="B145" s="86">
        <v>7</v>
      </c>
      <c r="C145" s="82" t="s">
        <v>152</v>
      </c>
      <c r="D145" s="81">
        <v>19863</v>
      </c>
      <c r="E145" s="81">
        <f>D145/9*3</f>
        <v>6621</v>
      </c>
      <c r="F145" s="146">
        <f>D145+E145</f>
        <v>26484</v>
      </c>
      <c r="G145" s="146">
        <v>28000</v>
      </c>
      <c r="H145" s="83">
        <f>G145/F145*100</f>
        <v>105.72421084428333</v>
      </c>
      <c r="I145" s="146">
        <v>120000</v>
      </c>
      <c r="J145" s="146">
        <f>40000+76965.22</f>
        <v>116965.22</v>
      </c>
      <c r="K145" s="163">
        <v>200000</v>
      </c>
    </row>
    <row r="146" spans="1:11" ht="14.4" thickBot="1" x14ac:dyDescent="0.35">
      <c r="A146" s="145"/>
      <c r="B146" s="86">
        <v>8</v>
      </c>
      <c r="C146" s="82" t="s">
        <v>223</v>
      </c>
      <c r="D146" s="81"/>
      <c r="E146" s="81"/>
      <c r="F146" s="146"/>
      <c r="G146" s="146"/>
      <c r="H146" s="83"/>
      <c r="I146" s="146">
        <v>210000</v>
      </c>
      <c r="J146" s="146">
        <v>205600</v>
      </c>
      <c r="K146" s="163">
        <v>500000</v>
      </c>
    </row>
    <row r="147" spans="1:11" s="89" customFormat="1" ht="19.95" customHeight="1" thickBot="1" x14ac:dyDescent="0.35">
      <c r="A147" s="155" t="s">
        <v>255</v>
      </c>
      <c r="B147" s="123"/>
      <c r="C147" s="115" t="s">
        <v>308</v>
      </c>
      <c r="D147" s="105"/>
      <c r="E147" s="105"/>
      <c r="F147" s="156"/>
      <c r="G147" s="156"/>
      <c r="H147" s="124"/>
      <c r="I147" s="156"/>
      <c r="J147" s="156"/>
      <c r="K147" s="170">
        <f>SUM(K148)</f>
        <v>500000</v>
      </c>
    </row>
    <row r="148" spans="1:11" ht="14.4" thickBot="1" x14ac:dyDescent="0.35">
      <c r="A148" s="158"/>
      <c r="B148" s="107">
        <v>1</v>
      </c>
      <c r="C148" s="125" t="s">
        <v>266</v>
      </c>
      <c r="D148" s="126"/>
      <c r="E148" s="126"/>
      <c r="F148" s="159"/>
      <c r="G148" s="159"/>
      <c r="H148" s="109"/>
      <c r="I148" s="159"/>
      <c r="J148" s="159"/>
      <c r="K148" s="161">
        <v>500000</v>
      </c>
    </row>
    <row r="149" spans="1:11" ht="21" customHeight="1" thickBot="1" x14ac:dyDescent="0.35">
      <c r="A149" s="155" t="s">
        <v>256</v>
      </c>
      <c r="B149" s="103"/>
      <c r="C149" s="115" t="s">
        <v>309</v>
      </c>
      <c r="D149" s="105">
        <f t="shared" ref="D149:K149" si="6">SUM(D150:D157)</f>
        <v>196971.58000000002</v>
      </c>
      <c r="E149" s="105">
        <f t="shared" si="6"/>
        <v>16508.556666666667</v>
      </c>
      <c r="F149" s="156">
        <f t="shared" si="6"/>
        <v>269135.1766666667</v>
      </c>
      <c r="G149" s="156">
        <f t="shared" si="6"/>
        <v>270000</v>
      </c>
      <c r="H149" s="156">
        <f t="shared" si="6"/>
        <v>502.933845180079</v>
      </c>
      <c r="I149" s="156">
        <f t="shared" si="6"/>
        <v>434900</v>
      </c>
      <c r="J149" s="156">
        <f t="shared" si="6"/>
        <v>330734.24</v>
      </c>
      <c r="K149" s="165">
        <f t="shared" si="6"/>
        <v>488000</v>
      </c>
    </row>
    <row r="150" spans="1:11" x14ac:dyDescent="0.3">
      <c r="A150" s="141"/>
      <c r="B150" s="100">
        <v>1</v>
      </c>
      <c r="C150" s="112" t="s">
        <v>153</v>
      </c>
      <c r="D150" s="114">
        <v>2116</v>
      </c>
      <c r="E150" s="114">
        <f>D150/9*3</f>
        <v>705.33333333333337</v>
      </c>
      <c r="F150" s="142">
        <f>D150+E150</f>
        <v>2821.3333333333335</v>
      </c>
      <c r="G150" s="142">
        <v>3000</v>
      </c>
      <c r="H150" s="102">
        <f>G150/F150*100</f>
        <v>106.33270321361059</v>
      </c>
      <c r="I150" s="142">
        <v>45000</v>
      </c>
      <c r="J150" s="142">
        <f>28226.63+12097.11</f>
        <v>40323.740000000005</v>
      </c>
      <c r="K150" s="162">
        <v>30000</v>
      </c>
    </row>
    <row r="151" spans="1:11" x14ac:dyDescent="0.3">
      <c r="A151" s="145"/>
      <c r="B151" s="86">
        <f>B150+1</f>
        <v>2</v>
      </c>
      <c r="C151" s="92" t="s">
        <v>222</v>
      </c>
      <c r="D151" s="81"/>
      <c r="E151" s="81"/>
      <c r="F151" s="146"/>
      <c r="G151" s="146"/>
      <c r="H151" s="83"/>
      <c r="I151" s="146">
        <v>69000</v>
      </c>
      <c r="J151" s="146">
        <f>58323.71+400+1600</f>
        <v>60323.71</v>
      </c>
      <c r="K151" s="163">
        <v>80000</v>
      </c>
    </row>
    <row r="152" spans="1:11" x14ac:dyDescent="0.3">
      <c r="A152" s="145"/>
      <c r="B152" s="86">
        <f t="shared" ref="B152:B157" si="7">B151+1</f>
        <v>3</v>
      </c>
      <c r="C152" s="82" t="s">
        <v>214</v>
      </c>
      <c r="D152" s="81">
        <v>40387.32</v>
      </c>
      <c r="E152" s="81">
        <v>3000</v>
      </c>
      <c r="F152" s="146">
        <f>D152+E152</f>
        <v>43387.32</v>
      </c>
      <c r="G152" s="146">
        <v>45000</v>
      </c>
      <c r="H152" s="83">
        <f>G152/F152*100</f>
        <v>103.71693849723836</v>
      </c>
      <c r="I152" s="146">
        <v>69900</v>
      </c>
      <c r="J152" s="146"/>
      <c r="K152" s="163">
        <v>100000</v>
      </c>
    </row>
    <row r="153" spans="1:11" ht="17.399999999999999" customHeight="1" x14ac:dyDescent="0.3">
      <c r="A153" s="145"/>
      <c r="B153" s="86">
        <f t="shared" si="7"/>
        <v>4</v>
      </c>
      <c r="C153" s="82" t="s">
        <v>220</v>
      </c>
      <c r="D153" s="81">
        <v>27704.44</v>
      </c>
      <c r="E153" s="81">
        <f>D153/9*3</f>
        <v>9234.8133333333335</v>
      </c>
      <c r="F153" s="146">
        <f>D153+E153</f>
        <v>36939.253333333334</v>
      </c>
      <c r="G153" s="146">
        <v>38000</v>
      </c>
      <c r="H153" s="83">
        <f>G153/F153*100</f>
        <v>102.87159747679434</v>
      </c>
      <c r="I153" s="146">
        <v>60000</v>
      </c>
      <c r="J153" s="146">
        <f>46053.32+12996+373.7</f>
        <v>59423.02</v>
      </c>
      <c r="K153" s="163">
        <v>60000</v>
      </c>
    </row>
    <row r="154" spans="1:11" x14ac:dyDescent="0.3">
      <c r="A154" s="145"/>
      <c r="B154" s="86">
        <f t="shared" si="7"/>
        <v>5</v>
      </c>
      <c r="C154" s="82" t="s">
        <v>203</v>
      </c>
      <c r="D154" s="81"/>
      <c r="E154" s="81"/>
      <c r="F154" s="146"/>
      <c r="G154" s="146"/>
      <c r="H154" s="83"/>
      <c r="I154" s="146">
        <v>6000</v>
      </c>
      <c r="J154" s="146">
        <v>5785.48</v>
      </c>
      <c r="K154" s="163">
        <v>20000</v>
      </c>
    </row>
    <row r="155" spans="1:11" x14ac:dyDescent="0.3">
      <c r="A155" s="145"/>
      <c r="B155" s="86">
        <f t="shared" si="7"/>
        <v>6</v>
      </c>
      <c r="C155" s="82" t="s">
        <v>206</v>
      </c>
      <c r="D155" s="81">
        <v>25888</v>
      </c>
      <c r="E155" s="81">
        <v>2000</v>
      </c>
      <c r="F155" s="146">
        <f>D155+E155</f>
        <v>27888</v>
      </c>
      <c r="G155" s="146">
        <v>25000</v>
      </c>
      <c r="H155" s="83">
        <f>G155/F155*100</f>
        <v>89.64429145152036</v>
      </c>
      <c r="I155" s="146">
        <v>10000</v>
      </c>
      <c r="J155" s="146">
        <v>6036.24</v>
      </c>
      <c r="K155" s="163">
        <v>18000</v>
      </c>
    </row>
    <row r="156" spans="1:11" x14ac:dyDescent="0.3">
      <c r="A156" s="145"/>
      <c r="B156" s="86">
        <f t="shared" si="7"/>
        <v>7</v>
      </c>
      <c r="C156" s="82" t="s">
        <v>188</v>
      </c>
      <c r="D156" s="81">
        <v>100875.82</v>
      </c>
      <c r="E156" s="81">
        <v>1568.41</v>
      </c>
      <c r="F156" s="146">
        <v>134504.6</v>
      </c>
      <c r="G156" s="146">
        <v>135000</v>
      </c>
      <c r="H156" s="83">
        <f>G156/F156*100</f>
        <v>100.36831454091532</v>
      </c>
      <c r="I156" s="146">
        <v>125000</v>
      </c>
      <c r="J156" s="146">
        <v>122835.75</v>
      </c>
      <c r="K156" s="163">
        <v>130000</v>
      </c>
    </row>
    <row r="157" spans="1:11" ht="14.4" thickBot="1" x14ac:dyDescent="0.35">
      <c r="A157" s="151"/>
      <c r="B157" s="97">
        <f t="shared" si="7"/>
        <v>8</v>
      </c>
      <c r="C157" s="117" t="s">
        <v>154</v>
      </c>
      <c r="D157" s="118"/>
      <c r="E157" s="118"/>
      <c r="F157" s="152">
        <v>23594.67</v>
      </c>
      <c r="G157" s="152">
        <v>24000</v>
      </c>
      <c r="H157" s="99"/>
      <c r="I157" s="152">
        <v>50000</v>
      </c>
      <c r="J157" s="152">
        <v>36006.300000000003</v>
      </c>
      <c r="K157" s="164">
        <v>50000</v>
      </c>
    </row>
    <row r="158" spans="1:11" ht="20.399999999999999" customHeight="1" thickBot="1" x14ac:dyDescent="0.35">
      <c r="A158" s="155" t="s">
        <v>257</v>
      </c>
      <c r="B158" s="103"/>
      <c r="C158" s="115" t="s">
        <v>313</v>
      </c>
      <c r="D158" s="105">
        <f ca="1">SUM(D139:D160)</f>
        <v>11316089.380000001</v>
      </c>
      <c r="E158" s="105">
        <f ca="1">SUM(E139:E160)</f>
        <v>4142455.9462222224</v>
      </c>
      <c r="F158" s="156">
        <f ca="1">SUM(F139:F160)</f>
        <v>15360354.926222224</v>
      </c>
      <c r="G158" s="156">
        <f ca="1">SUM(G139:G160)</f>
        <v>15456000</v>
      </c>
      <c r="H158" s="106">
        <f t="shared" ref="H158:H174" ca="1" si="8">G158/F158*100</f>
        <v>100.62267489414907</v>
      </c>
      <c r="I158" s="156">
        <f ca="1">SUM(I139:I160)</f>
        <v>15531000</v>
      </c>
      <c r="J158" s="156">
        <f ca="1">SUM(J139:J160)</f>
        <v>12844654.109999999</v>
      </c>
      <c r="K158" s="157">
        <f>SUM(K159:K160)</f>
        <v>14700000</v>
      </c>
    </row>
    <row r="159" spans="1:11" x14ac:dyDescent="0.3">
      <c r="A159" s="141"/>
      <c r="B159" s="100">
        <v>1</v>
      </c>
      <c r="C159" s="112" t="s">
        <v>12</v>
      </c>
      <c r="D159" s="114">
        <v>9242290.5500000007</v>
      </c>
      <c r="E159" s="114">
        <f>D159/9*3.2</f>
        <v>3286147.7511111116</v>
      </c>
      <c r="F159" s="142">
        <f>D159+E159</f>
        <v>12528438.301111113</v>
      </c>
      <c r="G159" s="142">
        <v>12600000</v>
      </c>
      <c r="H159" s="102">
        <f t="shared" si="8"/>
        <v>100.57119408795381</v>
      </c>
      <c r="I159" s="142">
        <v>12500000</v>
      </c>
      <c r="J159" s="142">
        <f>10021534.94+86738.42</f>
        <v>10108273.359999999</v>
      </c>
      <c r="K159" s="162">
        <v>12500000</v>
      </c>
    </row>
    <row r="160" spans="1:11" ht="14.4" thickBot="1" x14ac:dyDescent="0.35">
      <c r="A160" s="151"/>
      <c r="B160" s="97">
        <v>2</v>
      </c>
      <c r="C160" s="117" t="s">
        <v>155</v>
      </c>
      <c r="D160" s="118">
        <v>1477304.33</v>
      </c>
      <c r="E160" s="118">
        <f>D160/9*3.2</f>
        <v>525263.76177777781</v>
      </c>
      <c r="F160" s="152">
        <f>D160+E160</f>
        <v>2002568.0917777778</v>
      </c>
      <c r="G160" s="152">
        <v>2010000</v>
      </c>
      <c r="H160" s="99">
        <f t="shared" si="8"/>
        <v>100.37111887744223</v>
      </c>
      <c r="I160" s="152">
        <v>1900000</v>
      </c>
      <c r="J160" s="152">
        <f>1725615.89+50471.21</f>
        <v>1776087.0999999999</v>
      </c>
      <c r="K160" s="164">
        <v>2200000</v>
      </c>
    </row>
    <row r="161" spans="1:11" ht="14.4" thickBot="1" x14ac:dyDescent="0.35">
      <c r="A161" s="155" t="s">
        <v>258</v>
      </c>
      <c r="B161" s="103"/>
      <c r="C161" s="115" t="s">
        <v>225</v>
      </c>
      <c r="D161" s="105">
        <f>SUM(D162:D163)</f>
        <v>578638.52</v>
      </c>
      <c r="E161" s="105">
        <f>SUM(E162:E163)</f>
        <v>532486.84</v>
      </c>
      <c r="F161" s="156">
        <f>SUM(F162:F163)</f>
        <v>1068094.22</v>
      </c>
      <c r="G161" s="156">
        <f>SUM(G162:G163)</f>
        <v>1045000</v>
      </c>
      <c r="H161" s="106">
        <f t="shared" si="8"/>
        <v>97.837810600641589</v>
      </c>
      <c r="I161" s="156">
        <f>SUM(I162:I163)</f>
        <v>735000</v>
      </c>
      <c r="J161" s="156">
        <f>SUM(J162:J163)</f>
        <v>482103.31999999995</v>
      </c>
      <c r="K161" s="157">
        <f>SUM(K162:K163)</f>
        <v>265000</v>
      </c>
    </row>
    <row r="162" spans="1:11" x14ac:dyDescent="0.3">
      <c r="A162" s="141"/>
      <c r="B162" s="100">
        <v>1</v>
      </c>
      <c r="C162" s="112" t="s">
        <v>157</v>
      </c>
      <c r="D162" s="114">
        <v>546365</v>
      </c>
      <c r="E162" s="114">
        <v>521729</v>
      </c>
      <c r="F162" s="142">
        <v>1025062.86</v>
      </c>
      <c r="G162" s="142">
        <v>1000000</v>
      </c>
      <c r="H162" s="102">
        <f t="shared" si="8"/>
        <v>97.554992871364007</v>
      </c>
      <c r="I162" s="142">
        <v>700000</v>
      </c>
      <c r="J162" s="142">
        <f>184341.59+265324.47</f>
        <v>449666.05999999994</v>
      </c>
      <c r="K162" s="162">
        <v>250000</v>
      </c>
    </row>
    <row r="163" spans="1:11" ht="14.4" thickBot="1" x14ac:dyDescent="0.35">
      <c r="A163" s="151"/>
      <c r="B163" s="97">
        <v>2</v>
      </c>
      <c r="C163" s="117" t="s">
        <v>172</v>
      </c>
      <c r="D163" s="118">
        <v>32273.52</v>
      </c>
      <c r="E163" s="118">
        <f>D163/9*3</f>
        <v>10757.84</v>
      </c>
      <c r="F163" s="152">
        <f>D163+E163</f>
        <v>43031.360000000001</v>
      </c>
      <c r="G163" s="152">
        <v>45000</v>
      </c>
      <c r="H163" s="99">
        <f t="shared" si="8"/>
        <v>104.57489607579215</v>
      </c>
      <c r="I163" s="152">
        <v>35000</v>
      </c>
      <c r="J163" s="152">
        <f>32417.67+19.59</f>
        <v>32437.26</v>
      </c>
      <c r="K163" s="164">
        <v>15000</v>
      </c>
    </row>
    <row r="164" spans="1:11" ht="14.4" thickBot="1" x14ac:dyDescent="0.35">
      <c r="A164" s="155" t="s">
        <v>311</v>
      </c>
      <c r="B164" s="103"/>
      <c r="C164" s="115" t="s">
        <v>141</v>
      </c>
      <c r="D164" s="105">
        <f>SUM(D165:D167)</f>
        <v>315218.5</v>
      </c>
      <c r="E164" s="105">
        <f>SUM(E165:E167)</f>
        <v>95644.6</v>
      </c>
      <c r="F164" s="156">
        <f>SUM(F165:F167)</f>
        <v>410863.10000000003</v>
      </c>
      <c r="G164" s="156">
        <f>SUM(G165:G167)</f>
        <v>100000</v>
      </c>
      <c r="H164" s="106">
        <f t="shared" si="8"/>
        <v>24.339007323850691</v>
      </c>
      <c r="I164" s="156">
        <f>SUM(I165:I171)</f>
        <v>516000</v>
      </c>
      <c r="J164" s="156">
        <f>SUM(J165:J171)</f>
        <v>434419.51</v>
      </c>
      <c r="K164" s="157">
        <f>SUM(K165:K169)</f>
        <v>105000</v>
      </c>
    </row>
    <row r="165" spans="1:11" x14ac:dyDescent="0.3">
      <c r="A165" s="141"/>
      <c r="B165" s="100">
        <v>1</v>
      </c>
      <c r="C165" s="112" t="s">
        <v>158</v>
      </c>
      <c r="D165" s="114">
        <v>28284.7</v>
      </c>
      <c r="E165" s="114">
        <v>0</v>
      </c>
      <c r="F165" s="142">
        <f>D165+E165</f>
        <v>28284.7</v>
      </c>
      <c r="G165" s="142">
        <v>0</v>
      </c>
      <c r="H165" s="102">
        <f t="shared" si="8"/>
        <v>0</v>
      </c>
      <c r="I165" s="142">
        <v>5000</v>
      </c>
      <c r="J165" s="142"/>
      <c r="K165" s="162">
        <v>5000</v>
      </c>
    </row>
    <row r="166" spans="1:11" x14ac:dyDescent="0.3">
      <c r="A166" s="145"/>
      <c r="B166" s="86">
        <v>2</v>
      </c>
      <c r="C166" s="82" t="s">
        <v>264</v>
      </c>
      <c r="D166" s="81"/>
      <c r="E166" s="81"/>
      <c r="F166" s="146"/>
      <c r="G166" s="146"/>
      <c r="H166" s="83"/>
      <c r="I166" s="146"/>
      <c r="J166" s="146"/>
      <c r="K166" s="163">
        <v>10000</v>
      </c>
    </row>
    <row r="167" spans="1:11" x14ac:dyDescent="0.3">
      <c r="A167" s="145"/>
      <c r="B167" s="86">
        <v>3</v>
      </c>
      <c r="C167" s="82" t="s">
        <v>184</v>
      </c>
      <c r="D167" s="81">
        <v>286933.8</v>
      </c>
      <c r="E167" s="81">
        <f>D167/9*3</f>
        <v>95644.6</v>
      </c>
      <c r="F167" s="146">
        <f>D167+E167</f>
        <v>382578.4</v>
      </c>
      <c r="G167" s="146">
        <v>100000</v>
      </c>
      <c r="H167" s="83">
        <f t="shared" si="8"/>
        <v>26.138433325038733</v>
      </c>
      <c r="I167" s="146">
        <v>1000</v>
      </c>
      <c r="J167" s="146">
        <v>153</v>
      </c>
      <c r="K167" s="163">
        <v>10000</v>
      </c>
    </row>
    <row r="168" spans="1:11" x14ac:dyDescent="0.3">
      <c r="A168" s="145"/>
      <c r="B168" s="86">
        <v>4</v>
      </c>
      <c r="C168" s="82" t="s">
        <v>260</v>
      </c>
      <c r="D168" s="81"/>
      <c r="E168" s="81"/>
      <c r="F168" s="146"/>
      <c r="G168" s="146"/>
      <c r="H168" s="83"/>
      <c r="I168" s="146"/>
      <c r="J168" s="146"/>
      <c r="K168" s="163">
        <v>60000</v>
      </c>
    </row>
    <row r="169" spans="1:11" ht="14.4" thickBot="1" x14ac:dyDescent="0.35">
      <c r="A169" s="151"/>
      <c r="B169" s="97">
        <v>5</v>
      </c>
      <c r="C169" s="117" t="s">
        <v>229</v>
      </c>
      <c r="D169" s="118"/>
      <c r="E169" s="118"/>
      <c r="F169" s="152"/>
      <c r="G169" s="152"/>
      <c r="H169" s="99"/>
      <c r="I169" s="152">
        <v>10000</v>
      </c>
      <c r="J169" s="152">
        <v>7000</v>
      </c>
      <c r="K169" s="164">
        <v>20000</v>
      </c>
    </row>
    <row r="170" spans="1:11" s="89" customFormat="1" ht="14.4" thickBot="1" x14ac:dyDescent="0.35">
      <c r="A170" s="155" t="s">
        <v>314</v>
      </c>
      <c r="B170" s="123"/>
      <c r="C170" s="115" t="s">
        <v>312</v>
      </c>
      <c r="D170" s="105"/>
      <c r="E170" s="105"/>
      <c r="F170" s="156"/>
      <c r="G170" s="156"/>
      <c r="H170" s="124"/>
      <c r="I170" s="156"/>
      <c r="J170" s="156"/>
      <c r="K170" s="170">
        <f>+K171</f>
        <v>300000</v>
      </c>
    </row>
    <row r="171" spans="1:11" ht="14.4" thickBot="1" x14ac:dyDescent="0.35">
      <c r="A171" s="158" t="s">
        <v>218</v>
      </c>
      <c r="B171" s="107">
        <v>1</v>
      </c>
      <c r="C171" s="125" t="s">
        <v>237</v>
      </c>
      <c r="D171" s="126"/>
      <c r="E171" s="126"/>
      <c r="F171" s="159"/>
      <c r="G171" s="159"/>
      <c r="H171" s="109"/>
      <c r="I171" s="159">
        <v>500000</v>
      </c>
      <c r="J171" s="159">
        <v>427266.51</v>
      </c>
      <c r="K171" s="161">
        <v>300000</v>
      </c>
    </row>
    <row r="172" spans="1:11" ht="25.2" customHeight="1" thickBot="1" x14ac:dyDescent="0.35">
      <c r="A172" s="155"/>
      <c r="B172" s="103"/>
      <c r="C172" s="115" t="s">
        <v>142</v>
      </c>
      <c r="D172" s="105" t="e">
        <f>SUM(D42)</f>
        <v>#REF!</v>
      </c>
      <c r="E172" s="105" t="e">
        <f>SUM(E42)</f>
        <v>#REF!</v>
      </c>
      <c r="F172" s="156" t="e">
        <f>SUM(F42)</f>
        <v>#REF!</v>
      </c>
      <c r="G172" s="156" t="e">
        <f>SUM(G42)</f>
        <v>#REF!</v>
      </c>
      <c r="H172" s="106" t="e">
        <f t="shared" si="8"/>
        <v>#REF!</v>
      </c>
      <c r="I172" s="156">
        <f>SUM(I42)</f>
        <v>29103300</v>
      </c>
      <c r="J172" s="156">
        <f>SUM(J42)</f>
        <v>24284983.139999993</v>
      </c>
      <c r="K172" s="157">
        <f>SUM(K42)</f>
        <v>28306000</v>
      </c>
    </row>
    <row r="173" spans="1:11" ht="18" customHeight="1" thickBot="1" x14ac:dyDescent="0.35">
      <c r="A173" s="155"/>
      <c r="B173" s="103"/>
      <c r="C173" s="115" t="s">
        <v>328</v>
      </c>
      <c r="D173" s="105" t="e">
        <f>SUM(D164,D161,#REF!,D158,D149,D130,D94,D78,D45)</f>
        <v>#REF!</v>
      </c>
      <c r="E173" s="105" t="e">
        <f>SUM(E164,E161,#REF!,E158,E149,E130,E94,E78,E45)</f>
        <v>#REF!</v>
      </c>
      <c r="F173" s="156" t="e">
        <f>SUM(F164,F161,#REF!,F158,F149,F130,F94,F78,F45)</f>
        <v>#REF!</v>
      </c>
      <c r="G173" s="156" t="e">
        <f>SUM(G164,G161,#REF!,G158,G149,G130,G94,G78,G45)</f>
        <v>#REF!</v>
      </c>
      <c r="H173" s="106" t="e">
        <f t="shared" si="8"/>
        <v>#REF!</v>
      </c>
      <c r="I173" s="156">
        <f ca="1">+I45+I78+I94+I130+I149+I161+I164+I158</f>
        <v>23343400</v>
      </c>
      <c r="J173" s="156">
        <f ca="1">+J45+J78+J94+J130+J149+J161+J164+J158</f>
        <v>19426224.699999999</v>
      </c>
      <c r="K173" s="157">
        <f>+K45+K78+K94+K130+K138+K147+K149+K158+K161+K164+K170</f>
        <v>27525600</v>
      </c>
    </row>
    <row r="174" spans="1:11" ht="22.8" customHeight="1" thickBot="1" x14ac:dyDescent="0.35">
      <c r="A174" s="176" t="s">
        <v>315</v>
      </c>
      <c r="B174" s="127" t="s">
        <v>218</v>
      </c>
      <c r="C174" s="177" t="s">
        <v>189</v>
      </c>
      <c r="D174" s="178" t="e">
        <f>D172-D173</f>
        <v>#REF!</v>
      </c>
      <c r="E174" s="178" t="e">
        <f>E172-E173</f>
        <v>#REF!</v>
      </c>
      <c r="F174" s="179" t="e">
        <f>F172-F173</f>
        <v>#REF!</v>
      </c>
      <c r="G174" s="179" t="e">
        <f>G172-G173</f>
        <v>#REF!</v>
      </c>
      <c r="H174" s="180" t="e">
        <f t="shared" si="8"/>
        <v>#REF!</v>
      </c>
      <c r="I174" s="179">
        <f ca="1">I172-I173</f>
        <v>5759900</v>
      </c>
      <c r="J174" s="179">
        <f ca="1">J172-J173</f>
        <v>4858758.4399999939</v>
      </c>
      <c r="K174" s="181">
        <f>+K172-K173</f>
        <v>780400</v>
      </c>
    </row>
    <row r="175" spans="1:11" x14ac:dyDescent="0.3">
      <c r="A175" s="182" t="s">
        <v>218</v>
      </c>
      <c r="B175" s="182"/>
      <c r="C175" s="182"/>
      <c r="D175" s="84"/>
      <c r="E175" s="84"/>
      <c r="F175" s="183" t="s">
        <v>190</v>
      </c>
      <c r="G175" s="183"/>
      <c r="H175" s="184"/>
      <c r="I175" s="185"/>
      <c r="J175" s="185"/>
    </row>
  </sheetData>
  <mergeCells count="3">
    <mergeCell ref="A175:C175"/>
    <mergeCell ref="A2:J2"/>
    <mergeCell ref="A1:K1"/>
  </mergeCells>
  <pageMargins left="0.9055118110236221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 xml:space="preserve">&amp;L&amp;"Arial,Kurziv"&amp;8 &amp;C&amp;"Arial,Kurziv"&amp;8 &amp;R&amp;"Arial,Kurziv"&amp;8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2018-02-22T09:01:53Z</cp:lastPrinted>
  <dcterms:created xsi:type="dcterms:W3CDTF">2011-10-12T06:43:57Z</dcterms:created>
  <dcterms:modified xsi:type="dcterms:W3CDTF">2018-09-21T06:06:51Z</dcterms:modified>
</cp:coreProperties>
</file>